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13.xml" ContentType="application/vnd.openxmlformats-officedocument.drawing+xml"/>
  <Override PartName="/xl/ctrlProps/ctrlProp21.xml" ContentType="application/vnd.ms-excel.controlproperties+xml"/>
  <Override PartName="/xl/drawings/drawing14.xml" ContentType="application/vnd.openxmlformats-officedocument.drawing+xml"/>
  <Override PartName="/xl/ctrlProps/ctrlProp22.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demostrade-my.sharepoint.com/personal/11507_demos-trade_com/Documents/Rámečky/nahráno na web/"/>
    </mc:Choice>
  </mc:AlternateContent>
  <xr:revisionPtr revIDLastSave="0" documentId="8_{F900E1DD-55AE-4AF9-8A46-66DBBAEA334B}" xr6:coauthVersionLast="47" xr6:coauthVersionMax="47" xr10:uidLastSave="{00000000-0000-0000-0000-000000000000}"/>
  <workbookProtection workbookAlgorithmName="SHA-512" workbookHashValue="Qxbnu+HUczHZIFpDN8gFPuawgLdgtxkM1EQz7BPiTET0ZX+HhUaus92QVnJUjUb5sNB3NH0//P8jrRiSznsXQg==" workbookSaltValue="/Oq3oJI0Cy664Mq/agmj4Q==" workbookSpinCount="100000" lockStructure="1"/>
  <bookViews>
    <workbookView showSheetTabs="0" xWindow="-120" yWindow="-120" windowWidth="29040" windowHeight="15720" tabRatio="731" xr2:uid="{B0DE370C-ACAD-4F4F-8416-BA28D7149E68}"/>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závěsy dle výklopu" sheetId="51" state="hidden" r:id="rId8"/>
    <sheet name="Ram_1" sheetId="32" r:id="rId9"/>
    <sheet name="kombinace_1" sheetId="50" state="hidden"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Ram_2_zaloha_old" sheetId="81" state="hidden" r:id="rId21"/>
    <sheet name="Posuv" sheetId="73" r:id="rId22"/>
    <sheet name="kombinace_posuv" sheetId="79" state="hidden" r:id="rId23"/>
    <sheet name="Typy profilů" sheetId="21" r:id="rId24"/>
    <sheet name="_souhrn" sheetId="71" r:id="rId25"/>
    <sheet name="Barevnice" sheetId="44" r:id="rId26"/>
    <sheet name="_souhrn (2)" sheetId="99" r:id="rId27"/>
    <sheet name="_souhrn (3)" sheetId="104" r:id="rId28"/>
    <sheet name="POMOC SEZNAM PANTU" sheetId="29" state="hidden" r:id="rId29"/>
    <sheet name="Ceny_n" sheetId="30" state="hidden" r:id="rId30"/>
  </sheets>
  <definedNames>
    <definedName name="_1">'závěsy dle výklopu'!$A$75:$A$76</definedName>
    <definedName name="_10">'závěsy dle výklopu'!$J$75</definedName>
    <definedName name="_11">'závěsy dle výklopu'!$K$75</definedName>
    <definedName name="_12">'závěsy dle výklopu'!$L$75</definedName>
    <definedName name="_2">'závěsy dle výklopu'!$B$75:$B$76</definedName>
    <definedName name="_3">'závěsy dle výklopu'!$C$75:$C$77</definedName>
    <definedName name="_4">'závěsy dle výklopu'!$D$75:$D$77</definedName>
    <definedName name="_5">'závěsy dle výklopu'!$E$75</definedName>
    <definedName name="_6">'závěsy dle výklopu'!$F$75:$F$77</definedName>
    <definedName name="_7">'závěsy dle výklopu'!$G$75:$G$77</definedName>
    <definedName name="_8">'závěsy dle výklopu'!$H$75</definedName>
    <definedName name="_9">'závěsy dle výklopu'!$I$75</definedName>
    <definedName name="_A1" localSheetId="22">kombinace_posuv!$R$4:$R$48</definedName>
    <definedName name="_A1">'závěsy dle výklopu'!$B$96:$B$111</definedName>
    <definedName name="_A2" localSheetId="22">kombinace_posuv!$T$4:$T$7</definedName>
    <definedName name="_A2">'závěsy dle výklopu'!$D$96</definedName>
    <definedName name="_A3" localSheetId="22">kombinace_posuv!$V$4:$V$43</definedName>
    <definedName name="_A3">'závěsy dle výklopu'!$F$96:$F$111</definedName>
    <definedName name="_corleone">'závěsy dle výklopu'!$A$97:$A$139</definedName>
    <definedName name="_xlnm._FilterDatabase" localSheetId="26" hidden="1">'_souhrn (2)'!$CK$1:$CL$119</definedName>
    <definedName name="_xlnm._FilterDatabase" localSheetId="29" hidden="1">Ceny_n!#REF!</definedName>
    <definedName name="_xlnm._FilterDatabase" localSheetId="9" hidden="1">kombinace_1!$ED$1:$EF$657</definedName>
    <definedName name="_xlnm._FilterDatabase" localSheetId="28" hidden="1">'POMOC SEZNAM PANTU'!$A$1:$AJ$55</definedName>
    <definedName name="_xlnm._FilterDatabase" localSheetId="4" hidden="1">'rozpad závěsů bez prázdn. řádků'!$A$1:$F$66</definedName>
    <definedName name="_kombinovane_profily" localSheetId="22">kombinace_posuv!$F$14:$F$19</definedName>
    <definedName name="_kombinovane_profily">kombinace_1!$F$18:$F$19</definedName>
    <definedName name="_N1" localSheetId="22">kombinace_posuv!$Q$4:$Q$61</definedName>
    <definedName name="_N1">'závěsy dle výklopu'!$A$96:$A$139</definedName>
    <definedName name="_N2" localSheetId="22">kombinace_posuv!$S$4:$S$19</definedName>
    <definedName name="_N2">'závěsy dle výklopu'!$C$96:$C$122</definedName>
    <definedName name="_N3" localSheetId="22">kombinace_posuv!$U$4:$U$43</definedName>
    <definedName name="_N3">'závěsy dle výklopu'!$E$96:$E$111</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 localSheetId="22">IF(kombinace_posuv!$H$1="PRAVDA",kombinace_posuv!$G$23,IF(kombinace_posuv!$H$1="NEPRAVDA",kombinace_posuv!$G$31,0))</definedName>
    <definedName name="_obrazek">IF(kombinace_1!$H$1="PRAVDA",kombinace_1!$G$23,IF(kombinace_1!$H$1="NEPRAVDA",kombinace_1!$G$31,0))</definedName>
    <definedName name="_pocet_sprzosy" localSheetId="22">kombinace_posuv!$BY$18:$BY$27</definedName>
    <definedName name="_profily_síťka">'závěsy dle výklopu'!$A$81:$A$92</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Automatická_vzpěra" localSheetId="22">kombinace_posuv!$DH$5:$DH$10</definedName>
    <definedName name="_široký_Aventos_HF" localSheetId="22">kombinace_posuv!$CH$5</definedName>
    <definedName name="_široký_Aventos_HK_XS" localSheetId="22">kombinace_posuv!$CJ$5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Duo" localSheetId="22">kombinace_posuv!$CT$5:$CT$10</definedName>
    <definedName name="_široký_Duo_Forte" localSheetId="22">kombinace_posuv!$CR$5:$CR$10</definedName>
    <definedName name="_široký_FREEfold" localSheetId="22">kombinace_posuv!$CN$5:$CN$10</definedName>
    <definedName name="_široký_FREElight" localSheetId="22">kombinace_posuv!$CL$5:$CL$10</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K12" localSheetId="22">kombinace_posuv!$CV$5:$CV$10</definedName>
    <definedName name="_široký_Kiaro" localSheetId="22">kombinace_posuv!$DD$5:$DD$8</definedName>
    <definedName name="_široký_Kraby" localSheetId="22">kombinace_posuv!$CZ$5:$CZ$10</definedName>
    <definedName name="_široký_LiftMini" localSheetId="22">kombinace_posuv!$DL$5:$DL$8</definedName>
    <definedName name="_široký_Link" localSheetId="22">kombinace_posuv!$DF$5:$DF$8</definedName>
    <definedName name="_široký_Maxi" localSheetId="22">kombinace_posuv!$CP$5:$CP$10</definedName>
    <definedName name="_široký_Polohovací_vzpěra" localSheetId="22">kombinace_posuv!$DJ$5:$DJ$10</definedName>
    <definedName name="_široký_Spodní_K12" localSheetId="22">kombinace_posuv!$CX$5:$CX$8</definedName>
    <definedName name="_široký_Spodní_Kraby" localSheetId="22">kombinace_posuv!$DB$5:$DB$8</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umisteni_zavesu" localSheetId="22">kombinace_posuv!$BY$3:$BY$6</definedName>
    <definedName name="_umisteni_zavesu_vyklop" localSheetId="22">kombinace_posuv!$BY$5:$BY$6</definedName>
    <definedName name="_Úzký_Automatická_vzpěra" localSheetId="22">kombinace_posuv!$DG$5:$DG$12</definedName>
    <definedName name="_Úzký_Aventos_HK_XS" localSheetId="22">kombinace_posuv!$CI$5</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Duo" localSheetId="22">kombinace_posuv!$CS$5:$CS$12</definedName>
    <definedName name="_Úzký_Duo_Forte" localSheetId="22">kombinace_posuv!$CQ$5:$CQ$12</definedName>
    <definedName name="_Úzký_FREEfold" localSheetId="22">kombinace_posuv!$CM$5:$CM$12</definedName>
    <definedName name="_Úzký_FREElight" localSheetId="22">kombinace_posuv!$CK$5:$CK$12</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K12" localSheetId="22">kombinace_posuv!$CU$5:$CU$12</definedName>
    <definedName name="_Úzký_Kiaro" localSheetId="22">kombinace_posuv!$DC$5:$DC$7</definedName>
    <definedName name="_Úzký_Kraby" localSheetId="22">kombinace_posuv!$CY$5:$CY$12</definedName>
    <definedName name="_Úzký_LiftMini" localSheetId="22">kombinace_posuv!$DK$5:$DK$7</definedName>
    <definedName name="_Úzký_Link" localSheetId="22">kombinace_posuv!$DE$5:$DE$7</definedName>
    <definedName name="_Úzký_Maxi" localSheetId="22">kombinace_posuv!$CO$5:$CO$12</definedName>
    <definedName name="_Úzký_Polohovací_vzpěra" localSheetId="22">kombinace_posuv!$DI$5:$DI$12</definedName>
    <definedName name="_Úzký_Spodní_K12" localSheetId="22">kombinace_posuv!$CW$5:$CW$7</definedName>
    <definedName name="_Úzký_Spodní_Kraby" localSheetId="22">kombinace_posuv!$DA$5:$DA$7</definedName>
    <definedName name="_úzký_STRONGHINGESS3_naložený">'rozpad závěsů bez prázdn. řádků'!$G$22:$G$23</definedName>
    <definedName name="_úzký_STRONGHINGESS5_naložený">'rozpad závěsů bez prázdn. řádků'!$G$21:$I$21</definedName>
    <definedName name="_varna_panty_svisle">'Translate&amp;Prices&amp;Logo'!$M$568:$M$570</definedName>
    <definedName name="_vše_profily" localSheetId="22">kombinace_posuv!$A$3:$A$47</definedName>
    <definedName name="_vše_profily">kombinace_1!$A$3:$A$58</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 localSheetId="22">kombinace_posuv!$AB$4:$AB$9</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 localSheetId="22">kombinace_posuv!$AB$43:$AB$45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 localSheetId="22">kombinace_posuv!$AB$29:$AB$34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 localSheetId="22">kombinace_posuv!$AB$15:$AB$23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 localSheetId="22">kombinace_posuv!$AB$40:$AB$41</definedName>
    <definedName name="_vyklopy_stronglift">kombinace_1!$AB$40:$AB$41</definedName>
    <definedName name="_výsuvy">Ram_1!$AF$36:$AF$41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 localSheetId="22">kombinace_posuv!$AZ$10:$AZ$14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 localSheetId="22">kombinace_posuv!$AZ$4:$AZ$8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 localSheetId="22">kombinace_posuv!$AZ$16:$AZ$20</definedName>
    <definedName name="_zavesy_stronghingesS5">kombinace_1!$AZ$16:$AZ$20</definedName>
    <definedName name="_znacka_vyklopy" localSheetId="22">kombinace_posuv!$BR$3:$BR$6</definedName>
    <definedName name="_znacka_vyklopy">'závěsy dle výklopu'!$BR$3:$BR$7</definedName>
    <definedName name="_znacka_zavesy" localSheetId="22">kombinace_posuv!$BQ$3:$BQ$5</definedName>
    <definedName name="_znacka_zavesy">'závěsy dle výklopu'!$BQ$3:$BQ$7</definedName>
    <definedName name="_znacka_zavesy_proROMA">kombinace_1!$BQ$11</definedName>
    <definedName name="AV_HF" localSheetId="29">#REF!</definedName>
    <definedName name="AV_HF_SD" localSheetId="29">#REF!</definedName>
    <definedName name="AV_HK" localSheetId="29">#REF!</definedName>
    <definedName name="AV_HK_SD" localSheetId="29">#REF!</definedName>
    <definedName name="AV_HK_TIP" localSheetId="29">#REF!</definedName>
    <definedName name="AV_HKS" localSheetId="29">#REF!</definedName>
    <definedName name="AV_HKS_TIP" localSheetId="29">#REF!</definedName>
    <definedName name="AV_HKXS" localSheetId="29">#REF!</definedName>
    <definedName name="AV_HKXS_TIP" localSheetId="29">#REF!</definedName>
    <definedName name="AV_HL" localSheetId="29">#REF!</definedName>
    <definedName name="AV_HL_SD" localSheetId="29">#REF!</definedName>
    <definedName name="AV_HS" localSheetId="29">#REF!</definedName>
    <definedName name="AV_HS_SD" localSheetId="29">#REF!</definedName>
    <definedName name="AV_OST" localSheetId="29">#REF!</definedName>
    <definedName name="BLUM" localSheetId="29">#REF!</definedName>
    <definedName name="DOL_DV" localSheetId="29">#REF!</definedName>
    <definedName name="DOLE" localSheetId="29">#REF!</definedName>
    <definedName name="DP">kombinace_1!$BQ$7</definedName>
    <definedName name="DTDL_18" localSheetId="29">#REF!</definedName>
    <definedName name="dw">kombinace_1!$F$3</definedName>
    <definedName name="ed">kombinace_1!$A$1</definedName>
    <definedName name="HETTICH" localSheetId="29">#REF!</definedName>
    <definedName name="HF_TYP_2_CILKA" localSheetId="29">#REF!</definedName>
    <definedName name="HM_UCH" localSheetId="29">#REF!</definedName>
    <definedName name="HOR_DV" localSheetId="29">#REF!</definedName>
    <definedName name="MAX_ROZ_RAM" localSheetId="29">Ceny_n!$B$292</definedName>
    <definedName name="MDF_16" localSheetId="29">#REF!</definedName>
    <definedName name="MDF_18" localSheetId="29">#REF!</definedName>
    <definedName name="MIN_POZ_ZAVES" localSheetId="29">Ceny_n!$B$293</definedName>
    <definedName name="MIN_POZ_ZAVES_80" localSheetId="29">Ceny_n!$B$294</definedName>
    <definedName name="MIN_ROZ_RAM" localSheetId="29">Ceny_n!$B$472</definedName>
    <definedName name="NAHORE" localSheetId="29">#REF!</definedName>
    <definedName name="OBE_STRANY" localSheetId="29">#REF!</definedName>
    <definedName name="_xlnm.Print_Area" localSheetId="24">_souhrn!$A$1:$AP$173</definedName>
    <definedName name="_xlnm.Print_Area" localSheetId="26">'_souhrn (2)'!$A$4:$AR$224</definedName>
    <definedName name="_xlnm.Print_Area" localSheetId="27">'_souhrn (3)'!$A$1:$AQ$115,'_souhrn (3)'!$A$117:$AQ$151,'_souhrn (3)'!$A$153:$AQ$187,'_souhrn (3)'!$A$189:$AQ$223</definedName>
    <definedName name="_xlnm.Print_Area" localSheetId="8">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 name="PANT_BLUM_SLIM" localSheetId="29">#REF!</definedName>
    <definedName name="PANT_BLUM_WIDE" localSheetId="29">#REF!</definedName>
    <definedName name="PANT_HETTICH_SLIM" localSheetId="29">#REF!</definedName>
    <definedName name="PANT_HETTICH_WIDE" localSheetId="29">#REF!</definedName>
    <definedName name="PANT_STRONG_SLIM_BTL" localSheetId="29">#REF!</definedName>
    <definedName name="PANT_STRONG_SLIM_STL" localSheetId="29">#REF!</definedName>
    <definedName name="PANT_STRONG_WIDE_BTL" localSheetId="29">#REF!</definedName>
    <definedName name="PANT_STRONG_WIDE_STL" localSheetId="29">#REF!</definedName>
    <definedName name="POC_ZAVES" localSheetId="29">#REF!</definedName>
    <definedName name="POZ_RAM" localSheetId="29">#REF!</definedName>
    <definedName name="POZICE_RAMENE" localSheetId="29">#REF!</definedName>
    <definedName name="PRAZDNE_1" localSheetId="29">#REF!</definedName>
    <definedName name="PROFILY_ALL" localSheetId="29">#REF!</definedName>
    <definedName name="PROV_2_CILKA" localSheetId="29">#REF!</definedName>
    <definedName name="RADEK_1_5" localSheetId="29">OFFSET(#REF!,0,0,COUNT(#REF!:#REF!),1)</definedName>
    <definedName name="RADEK_1_6" localSheetId="29">OFFSET(#REF!,0,0,COUNT(#REF!:#REF!),1)</definedName>
    <definedName name="RADEK_2_5" localSheetId="29">OFFSET(#REF!,0,0,COUNT(#REF!:#REF!),1)</definedName>
    <definedName name="RADEK_2_6" localSheetId="29">OFFSET(#REF!,0,0,COUNT(#REF!:#REF!),1)</definedName>
    <definedName name="RADEK_3_5" localSheetId="29">OFFSET(#REF!,0,0,COUNT(#REF!:#REF!),1)</definedName>
    <definedName name="RADEK_3_6" localSheetId="29">OFFSET(#REF!,0,0,COUNT(#REF!:#REF!),1)</definedName>
    <definedName name="RADEK_4_5" localSheetId="29">OFFSET(#REF!,0,0,COUNT(#REF!:#REF!),1)</definedName>
    <definedName name="RADEK_4_6" localSheetId="29">OFFSET(#REF!,0,0,COUNT(#REF!:#REF!),1)</definedName>
    <definedName name="RADEK_5_5" localSheetId="29">OFFSET(#REF!,0,0,COUNT(#REF!:#REF!),1)</definedName>
    <definedName name="RADEK_5_6" localSheetId="29">OFFSET(#REF!,0,0,COUNT(#REF!:#REF!),1)</definedName>
    <definedName name="RADEK_6_5" localSheetId="29">OFFSET(#REF!,0,0,COUNT(#REF!:#REF!),1)</definedName>
    <definedName name="RADEK_6_6" localSheetId="29">OFFSET(#REF!,0,0,COUNT(#REF!:#REF!),1)</definedName>
    <definedName name="SIR_RAM" localSheetId="29">#REF!</definedName>
    <definedName name="SKLO_ALL" localSheetId="29">#REF!</definedName>
    <definedName name="SKLO_FOR_STICK" localSheetId="29">#REF!</definedName>
    <definedName name="SKLO_VYBER_T1" localSheetId="29">OFFSET(#REF!,0,0,COUNT(#REF!),1)</definedName>
    <definedName name="SKLO_VYBER_T2" localSheetId="29">OFFSET(#REF!,0,0,COUNT(#REF!),1)</definedName>
    <definedName name="SKLO_VYBER_T3" localSheetId="29">OFFSET(#REF!,0,0,COUNT(#REF!),1)</definedName>
    <definedName name="SKLO_VYBER_T4" localSheetId="29">OFFSET(#REF!,0,0,COUNT(#REF!),1)</definedName>
    <definedName name="SKLO_VYBER_T5" localSheetId="29">OFFSET(#REF!,0,0,COUNT(#REF!),1)</definedName>
    <definedName name="SKLO_VYBER_T6" localSheetId="29">OFFSET(#REF!,0,0,COUNT(#REF!),1)</definedName>
    <definedName name="STRONG_BINT_TL" localSheetId="29">#REF!</definedName>
    <definedName name="STRONG_INT_TL" localSheetId="29">#REF!</definedName>
    <definedName name="STRONG_Plus" localSheetId="29">#REF!</definedName>
    <definedName name="T1_PANT_BLUM" localSheetId="29">#REF!</definedName>
    <definedName name="T1_PANT_HETTICH" localSheetId="29">#REF!</definedName>
    <definedName name="T1_PANT_STRONG_BTL" localSheetId="29">#REF!</definedName>
    <definedName name="T1_PANT_STRONG_STL" localSheetId="29">#REF!</definedName>
    <definedName name="T1_PODLOZKA_TYPY" localSheetId="29">OFFSET(#REF!,0,0,COUNT(#REF!),1)</definedName>
    <definedName name="T1_VYKLOPY" localSheetId="29">OFFSET(#REF!,0,0,COUNT(#REF!),1)</definedName>
    <definedName name="T2_PODLOZKA_TYPY" localSheetId="29">OFFSET(#REF!,0,0,COUNT(#REF!),1)</definedName>
    <definedName name="T2_VYKLOPY" localSheetId="29">OFFSET(#REF!,0,0,COUNT(#REF!),1)</definedName>
    <definedName name="T3_PODLOZKA_TYPY" localSheetId="29">OFFSET(#REF!,0,0,COUNT(#REF!),1)</definedName>
    <definedName name="T3_VYKLOPY" localSheetId="29">OFFSET(#REF!,0,0,COUNT(#REF!),1)</definedName>
    <definedName name="T4_PODLOZKA_TYPY" localSheetId="29">OFFSET(#REF!,0,0,COUNT(#REF!),1)</definedName>
    <definedName name="T4_VYKLOPY" localSheetId="29">OFFSET(#REF!,0,0,COUNT(#REF!),1)</definedName>
    <definedName name="T5_PODLOZKA_TYPY" localSheetId="29">OFFSET(#REF!,0,0,COUNT(#REF!),1)</definedName>
    <definedName name="T5_VYKLOPY" localSheetId="29">OFFSET(#REF!,0,0,COUNT(#REF!),1)</definedName>
    <definedName name="T6_PANT_STRONG_STL" localSheetId="29">#REF!</definedName>
    <definedName name="T6_PODLOZKA_TYPY" localSheetId="29">OFFSET(#REF!,0,0,COUNT(#REF!),1)</definedName>
    <definedName name="T6_VYKLOPY" localSheetId="29">OFFSET(#REF!,0,0,COUNT(#REF!),1)</definedName>
    <definedName name="TYP_AV" localSheetId="29">#REF!</definedName>
    <definedName name="TYP_PODL" localSheetId="29">#REF!</definedName>
    <definedName name="TYP_RAM" localSheetId="29">#REF!</definedName>
    <definedName name="TYP_RAM_AV_HL" localSheetId="29">#REF!</definedName>
    <definedName name="TYP_ZAV" localSheetId="29">#REF!</definedName>
    <definedName name="UMISTENI_RAM_HKXS" localSheetId="29">#REF!</definedName>
    <definedName name="UMISTENI_VYKLOP" localSheetId="29">#REF!</definedName>
    <definedName name="UZKY_RAM" localSheetId="29">#REF!</definedName>
    <definedName name="VLEVO" localSheetId="29">#REF!</definedName>
    <definedName name="VPRAVO" localSheetId="29">#REF!</definedName>
    <definedName name="VYKLOP_DWN_SLIM" localSheetId="29">#REF!</definedName>
    <definedName name="VYKLOP_DWN_WIDE" localSheetId="29">#REF!</definedName>
    <definedName name="VYKLOP_UP_SLIM" localSheetId="29">#REF!</definedName>
    <definedName name="VYKLOP_UP_WIDE" localSheetId="29">#REF!</definedName>
    <definedName name="VYR_ZAVES" localSheetId="29">#REF!</definedName>
    <definedName name="VÝSUVY">Ram_1!$AF$36:$AF$41</definedName>
    <definedName name="VZD_ZAVES" localSheetId="29">#REF!</definedName>
    <definedName name="ZAVESY" localSheetId="29">#REF!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 i="53" l="1"/>
  <c r="D6" i="53" s="1"/>
  <c r="C7" i="53" l="1"/>
  <c r="C43" i="53"/>
  <c r="C31" i="53"/>
  <c r="C25" i="53"/>
  <c r="C19" i="53"/>
  <c r="C13" i="53"/>
  <c r="C69" i="53"/>
  <c r="D74" i="53"/>
  <c r="C120" i="53"/>
  <c r="C37" i="53"/>
  <c r="C96" i="53"/>
  <c r="C56" i="53"/>
  <c r="C49" i="53"/>
  <c r="C108" i="53"/>
  <c r="C144" i="53"/>
  <c r="D48" i="53"/>
  <c r="D36" i="53"/>
  <c r="D18" i="53"/>
  <c r="C107" i="53"/>
  <c r="C55" i="53"/>
  <c r="C30" i="53"/>
  <c r="C12" i="53"/>
  <c r="C130" i="53"/>
  <c r="D54" i="53"/>
  <c r="D41" i="53"/>
  <c r="D17" i="53"/>
  <c r="C70" i="53"/>
  <c r="C131" i="53"/>
  <c r="C47" i="53"/>
  <c r="C35" i="53"/>
  <c r="C11" i="53"/>
  <c r="C160" i="53"/>
  <c r="D53" i="53"/>
  <c r="D46" i="53"/>
  <c r="D40" i="53"/>
  <c r="D34" i="53"/>
  <c r="D28" i="53"/>
  <c r="D22" i="53"/>
  <c r="D16" i="53"/>
  <c r="D10" i="53"/>
  <c r="C71" i="53"/>
  <c r="C94" i="53"/>
  <c r="C115" i="53"/>
  <c r="C103" i="53"/>
  <c r="C135" i="53"/>
  <c r="C161" i="53"/>
  <c r="C6" i="53"/>
  <c r="D24" i="53"/>
  <c r="C119" i="53"/>
  <c r="C36" i="53"/>
  <c r="C97" i="53"/>
  <c r="D60" i="53"/>
  <c r="D23" i="53"/>
  <c r="C117" i="53"/>
  <c r="C23" i="53"/>
  <c r="C116" i="53"/>
  <c r="C46" i="53"/>
  <c r="C16" i="53"/>
  <c r="C93" i="53"/>
  <c r="C136" i="53"/>
  <c r="C162" i="53"/>
  <c r="D42" i="53"/>
  <c r="C145" i="53"/>
  <c r="C42" i="53"/>
  <c r="C18" i="53"/>
  <c r="C118" i="53"/>
  <c r="D35" i="53"/>
  <c r="D11" i="53"/>
  <c r="C105" i="53"/>
  <c r="C54" i="53"/>
  <c r="C29" i="53"/>
  <c r="D70" i="53"/>
  <c r="C104" i="53"/>
  <c r="C53" i="53"/>
  <c r="C28" i="53"/>
  <c r="C10" i="53"/>
  <c r="C102" i="53"/>
  <c r="D52" i="53"/>
  <c r="D45" i="53"/>
  <c r="D39" i="53"/>
  <c r="D33" i="53"/>
  <c r="D27" i="53"/>
  <c r="D21" i="53"/>
  <c r="D15" i="53"/>
  <c r="D9" i="53"/>
  <c r="C72" i="53"/>
  <c r="C92" i="53"/>
  <c r="C113" i="53"/>
  <c r="C101" i="53"/>
  <c r="C137" i="53"/>
  <c r="C163" i="53"/>
  <c r="C91" i="53"/>
  <c r="C39" i="53"/>
  <c r="C154" i="53"/>
  <c r="C15" i="53"/>
  <c r="C128" i="53"/>
  <c r="D55" i="53"/>
  <c r="D30" i="53"/>
  <c r="D12" i="53"/>
  <c r="C129" i="53"/>
  <c r="C48" i="53"/>
  <c r="C24" i="53"/>
  <c r="D69" i="53"/>
  <c r="C106" i="53"/>
  <c r="D47" i="53"/>
  <c r="D29" i="53"/>
  <c r="C155" i="53"/>
  <c r="C60" i="53"/>
  <c r="C41" i="53"/>
  <c r="C17" i="53"/>
  <c r="C95" i="53"/>
  <c r="C133" i="53"/>
  <c r="D59" i="53"/>
  <c r="C59" i="53"/>
  <c r="C40" i="53"/>
  <c r="C34" i="53"/>
  <c r="C22" i="53"/>
  <c r="D71" i="53"/>
  <c r="C114" i="53"/>
  <c r="D58" i="53"/>
  <c r="C58" i="53"/>
  <c r="C52" i="53"/>
  <c r="C45" i="53"/>
  <c r="C33" i="53"/>
  <c r="C27" i="53"/>
  <c r="C21" i="53"/>
  <c r="C9" i="53"/>
  <c r="D72" i="53"/>
  <c r="C99" i="53"/>
  <c r="C112" i="53"/>
  <c r="C100" i="53"/>
  <c r="C138" i="53"/>
  <c r="C164" i="53"/>
  <c r="D57" i="53"/>
  <c r="D50" i="53"/>
  <c r="D44" i="53"/>
  <c r="D38" i="53"/>
  <c r="D32" i="53"/>
  <c r="D26" i="53"/>
  <c r="D20" i="53"/>
  <c r="D14" i="53"/>
  <c r="D8" i="53"/>
  <c r="C73" i="53"/>
  <c r="C123" i="53"/>
  <c r="C111" i="53"/>
  <c r="C125" i="53"/>
  <c r="C139" i="53"/>
  <c r="C165" i="53"/>
  <c r="C57" i="53"/>
  <c r="C50" i="53"/>
  <c r="C44" i="53"/>
  <c r="C38" i="53"/>
  <c r="C32" i="53"/>
  <c r="C26" i="53"/>
  <c r="C20" i="53"/>
  <c r="C14" i="53"/>
  <c r="C8" i="53"/>
  <c r="D73" i="53"/>
  <c r="C122" i="53"/>
  <c r="C110" i="53"/>
  <c r="C126" i="53"/>
  <c r="C140" i="53"/>
  <c r="C166" i="53"/>
  <c r="D56" i="53"/>
  <c r="D49" i="53"/>
  <c r="D43" i="53"/>
  <c r="D37" i="53"/>
  <c r="D31" i="53"/>
  <c r="D25" i="53"/>
  <c r="D19" i="53"/>
  <c r="D13" i="53"/>
  <c r="D7" i="53"/>
  <c r="C74" i="53"/>
  <c r="C121" i="53"/>
  <c r="C109" i="53"/>
  <c r="C127" i="53"/>
  <c r="C141" i="53"/>
  <c r="C167" i="53"/>
  <c r="AC201" i="99"/>
  <c r="AC165" i="99"/>
  <c r="AC129" i="99"/>
  <c r="AC93" i="99"/>
  <c r="AC57" i="99"/>
  <c r="AC21" i="99"/>
  <c r="B695" i="53"/>
  <c r="C17" i="96"/>
  <c r="V2" i="97"/>
  <c r="X54" i="95" a="1"/>
  <c r="T54" i="95" a="1"/>
  <c r="T47" i="95"/>
  <c r="AJ40" i="95"/>
  <c r="AJ36" i="95" a="1"/>
  <c r="AJ39" i="95" s="1"/>
  <c r="AU30" i="95"/>
  <c r="AA29" i="95"/>
  <c r="AV17" i="95"/>
  <c r="AT11" i="95"/>
  <c r="G7" i="95"/>
  <c r="X54" i="94" a="1"/>
  <c r="T54" i="94" a="1"/>
  <c r="T47" i="94"/>
  <c r="AJ40" i="94"/>
  <c r="AJ38" i="94"/>
  <c r="AJ36" i="94"/>
  <c r="AJ36" i="94" a="1"/>
  <c r="AJ39" i="94" s="1"/>
  <c r="AU30" i="94"/>
  <c r="AA29" i="94"/>
  <c r="AV17" i="94"/>
  <c r="AT11" i="94"/>
  <c r="G7" i="94"/>
  <c r="X54" i="93" a="1"/>
  <c r="T54" i="93" a="1"/>
  <c r="T47" i="93"/>
  <c r="AJ40" i="93"/>
  <c r="AJ38" i="93"/>
  <c r="AJ37" i="93"/>
  <c r="AJ36" i="93" a="1"/>
  <c r="AJ39" i="93" s="1"/>
  <c r="AU30" i="93"/>
  <c r="AA29" i="93"/>
  <c r="AV17" i="93"/>
  <c r="AT11" i="93"/>
  <c r="G7" i="93"/>
  <c r="X54" i="92" a="1"/>
  <c r="T54" i="92" a="1"/>
  <c r="T47" i="92"/>
  <c r="AJ40" i="92"/>
  <c r="AJ38" i="92"/>
  <c r="AJ37" i="92"/>
  <c r="AJ36" i="92" a="1"/>
  <c r="AJ39" i="92" s="1"/>
  <c r="AU30" i="92"/>
  <c r="AA29" i="92"/>
  <c r="AV17" i="92"/>
  <c r="AT11" i="92"/>
  <c r="G7" i="92"/>
  <c r="X54" i="91" a="1"/>
  <c r="T54" i="91" a="1"/>
  <c r="T47" i="91"/>
  <c r="AJ40" i="91"/>
  <c r="AJ38" i="91"/>
  <c r="AJ37" i="91"/>
  <c r="AJ36" i="91"/>
  <c r="AJ36" i="91" a="1"/>
  <c r="AJ39" i="91" s="1"/>
  <c r="AU30" i="91"/>
  <c r="AA29" i="91"/>
  <c r="AV17" i="91"/>
  <c r="AT11" i="91"/>
  <c r="G7" i="91"/>
  <c r="AT43" i="95"/>
  <c r="AE41" i="95"/>
  <c r="U41" i="95"/>
  <c r="AW24" i="95"/>
  <c r="AS24" i="95"/>
  <c r="AV16" i="95"/>
  <c r="AU16" i="95"/>
  <c r="AW16" i="95" s="1"/>
  <c r="AW15" i="95"/>
  <c r="AV15" i="95"/>
  <c r="AU15" i="95"/>
  <c r="AT15" i="95"/>
  <c r="S13" i="95"/>
  <c r="BI3" i="95"/>
  <c r="BD3" i="95"/>
  <c r="AT43" i="94"/>
  <c r="AE41" i="94"/>
  <c r="U41" i="94"/>
  <c r="AW24" i="94"/>
  <c r="AS24" i="94"/>
  <c r="AV16" i="94"/>
  <c r="AU16" i="94"/>
  <c r="AW16" i="94" s="1"/>
  <c r="AW15" i="94"/>
  <c r="AV15" i="94"/>
  <c r="AU15" i="94"/>
  <c r="AT15" i="94"/>
  <c r="S13" i="94"/>
  <c r="BI3" i="94"/>
  <c r="BD3" i="94"/>
  <c r="AT43" i="93"/>
  <c r="AE41" i="93"/>
  <c r="U41" i="93"/>
  <c r="AW24" i="93"/>
  <c r="AS24" i="93"/>
  <c r="AV16" i="93"/>
  <c r="AU16" i="93"/>
  <c r="AW16" i="93" s="1"/>
  <c r="AW15" i="93"/>
  <c r="AV15" i="93"/>
  <c r="AU15" i="93"/>
  <c r="AT15" i="93"/>
  <c r="S13" i="93"/>
  <c r="BI3" i="93"/>
  <c r="BD3" i="93"/>
  <c r="AT43" i="92"/>
  <c r="AE41" i="92"/>
  <c r="U41" i="92"/>
  <c r="AW24" i="92"/>
  <c r="AS24" i="92"/>
  <c r="AV16" i="92"/>
  <c r="AU16" i="92"/>
  <c r="AW16" i="92" s="1"/>
  <c r="AW15" i="92"/>
  <c r="AV15" i="92"/>
  <c r="AU15" i="92"/>
  <c r="AT15" i="92"/>
  <c r="S13" i="92"/>
  <c r="BI3" i="92"/>
  <c r="BD3" i="92"/>
  <c r="AT43" i="91"/>
  <c r="AE41" i="91"/>
  <c r="U41" i="91"/>
  <c r="AW24" i="91"/>
  <c r="AS24" i="91"/>
  <c r="AV16" i="91"/>
  <c r="AU16" i="91"/>
  <c r="AW16" i="91" s="1"/>
  <c r="AW15" i="91"/>
  <c r="AV15" i="91"/>
  <c r="AU15" i="91"/>
  <c r="AT15" i="91"/>
  <c r="S13" i="91"/>
  <c r="BI3" i="91"/>
  <c r="BD3" i="91"/>
  <c r="AC209" i="99"/>
  <c r="AC173" i="99"/>
  <c r="AC137" i="99"/>
  <c r="AC101" i="99"/>
  <c r="AC29" i="99"/>
  <c r="AC65" i="99"/>
  <c r="AC206" i="99"/>
  <c r="AC170" i="99"/>
  <c r="AC134" i="99"/>
  <c r="AC98" i="99"/>
  <c r="AC62" i="99"/>
  <c r="AC26" i="99"/>
  <c r="AC198" i="99"/>
  <c r="AJ198" i="99" s="1"/>
  <c r="AC162" i="99"/>
  <c r="AJ162" i="99" s="1"/>
  <c r="AC126" i="99"/>
  <c r="AJ126" i="99" s="1"/>
  <c r="AC90" i="99"/>
  <c r="AJ90" i="99" s="1"/>
  <c r="AC54" i="99"/>
  <c r="AJ54" i="99" s="1"/>
  <c r="AC18" i="99"/>
  <c r="AJ18" i="99" s="1"/>
  <c r="AC191" i="99"/>
  <c r="AC155" i="99"/>
  <c r="AC119" i="99"/>
  <c r="AC83" i="99"/>
  <c r="AC47" i="99"/>
  <c r="AC11" i="99"/>
  <c r="AJ199" i="99"/>
  <c r="AJ163" i="99"/>
  <c r="AJ127" i="99"/>
  <c r="AK91" i="99"/>
  <c r="AJ55" i="99"/>
  <c r="AJ19" i="99"/>
  <c r="AB199" i="99"/>
  <c r="AB163" i="99"/>
  <c r="AB127" i="99"/>
  <c r="AB91" i="99"/>
  <c r="AB55" i="99"/>
  <c r="AB19" i="99"/>
  <c r="AC197" i="99"/>
  <c r="AC161" i="99"/>
  <c r="AC125" i="99"/>
  <c r="AC89" i="99"/>
  <c r="AC53" i="99"/>
  <c r="AC17" i="99"/>
  <c r="AA29" i="32"/>
  <c r="AJ36" i="95" l="1"/>
  <c r="AJ37" i="95"/>
  <c r="AJ38" i="95"/>
  <c r="AJ37" i="94"/>
  <c r="AJ36" i="93"/>
  <c r="AJ36" i="92"/>
  <c r="AC207" i="99" l="1"/>
  <c r="AC171" i="99"/>
  <c r="AC135" i="99"/>
  <c r="AC99" i="99"/>
  <c r="AC63" i="99"/>
  <c r="AC27" i="99"/>
  <c r="U41" i="32" l="1"/>
  <c r="B16" i="100"/>
  <c r="U5" i="71"/>
  <c r="AI9" i="71" s="1"/>
  <c r="S37" i="73"/>
  <c r="C35" i="96"/>
  <c r="BF32" i="73"/>
  <c r="BF33" i="73" s="1"/>
  <c r="P21" i="105"/>
  <c r="K18" i="73"/>
  <c r="R17" i="96"/>
  <c r="BA20" i="71" l="1"/>
  <c r="AZ20" i="71"/>
  <c r="AY20" i="71"/>
  <c r="AX20" i="71"/>
  <c r="AW20" i="71"/>
  <c r="AV20" i="71"/>
  <c r="P2" i="105"/>
  <c r="AC42" i="73"/>
  <c r="AC44" i="73"/>
  <c r="BB20" i="71" l="1"/>
  <c r="AC5" i="96"/>
  <c r="AE8" i="96" s="1"/>
  <c r="AE9" i="96" s="1"/>
  <c r="M35" i="96" s="1"/>
  <c r="H9" i="71"/>
  <c r="W153" i="99"/>
  <c r="W189" i="99"/>
  <c r="AU10" i="71"/>
  <c r="AU9" i="71"/>
  <c r="AB7" i="71"/>
  <c r="B10" i="71"/>
  <c r="D5" i="99"/>
  <c r="D8" i="99"/>
  <c r="D7" i="99"/>
  <c r="D6" i="99"/>
  <c r="AB6" i="71" l="1"/>
  <c r="U8" i="71" l="1"/>
  <c r="E29" i="80"/>
  <c r="U7" i="71"/>
  <c r="C18" i="73" l="1"/>
  <c r="BE29" i="73"/>
  <c r="BD29" i="73"/>
  <c r="BC29" i="73"/>
  <c r="BE27" i="73"/>
  <c r="BE26" i="73"/>
  <c r="BD27" i="73"/>
  <c r="BD26" i="73"/>
  <c r="BC27" i="73"/>
  <c r="BC26" i="73"/>
  <c r="BA16" i="71"/>
  <c r="AZ16" i="71"/>
  <c r="AY16" i="71"/>
  <c r="AX16" i="71"/>
  <c r="AW16" i="71"/>
  <c r="AV16" i="71"/>
  <c r="BF30" i="73" l="1"/>
  <c r="BB17" i="71"/>
  <c r="BB21" i="71"/>
  <c r="BF26" i="73"/>
  <c r="BH38" i="73" s="1"/>
  <c r="BA14" i="71"/>
  <c r="BA13" i="71"/>
  <c r="AZ14" i="71"/>
  <c r="AZ13" i="71"/>
  <c r="AY14" i="71"/>
  <c r="AY13" i="71"/>
  <c r="AX14" i="71"/>
  <c r="AX13" i="71"/>
  <c r="AW14" i="71"/>
  <c r="AW13" i="71"/>
  <c r="AV14" i="71"/>
  <c r="AV13" i="71"/>
  <c r="AS24" i="32"/>
  <c r="BH39" i="73" l="1"/>
  <c r="BH29" i="73"/>
  <c r="BB13" i="71"/>
  <c r="AV21" i="99"/>
  <c r="U6" i="71"/>
  <c r="H7" i="71"/>
  <c r="H6" i="71"/>
  <c r="H5" i="71"/>
  <c r="C19" i="73"/>
  <c r="C17" i="73"/>
  <c r="BH30" i="73" l="1"/>
  <c r="BF34" i="73"/>
  <c r="BD16" i="71"/>
  <c r="BB22" i="71" s="1"/>
  <c r="BD25" i="71"/>
  <c r="BD26" i="71" s="1"/>
  <c r="BF29" i="73"/>
  <c r="X37" i="73"/>
  <c r="C18" i="96"/>
  <c r="C16" i="96"/>
  <c r="V34" i="80"/>
  <c r="BF36" i="73" l="1"/>
  <c r="BD17" i="71"/>
  <c r="BB16" i="71" s="1"/>
  <c r="BB24" i="71" s="1"/>
  <c r="Q7" i="99"/>
  <c r="O5" i="99"/>
  <c r="E25" i="80"/>
  <c r="E23" i="80"/>
  <c r="AH6" i="71" l="1"/>
  <c r="AV17" i="32"/>
  <c r="O55" i="73" l="1"/>
  <c r="K55" i="73"/>
  <c r="G55" i="73"/>
  <c r="W14" i="99" l="1"/>
  <c r="W17" i="99"/>
  <c r="AB191" i="104" l="1"/>
  <c r="AB155" i="104"/>
  <c r="AB119" i="104"/>
  <c r="AB83" i="104"/>
  <c r="AB47" i="104"/>
  <c r="AB11" i="104"/>
  <c r="K220" i="104" l="1"/>
  <c r="J220" i="104"/>
  <c r="I220" i="104"/>
  <c r="H220" i="104"/>
  <c r="G220" i="104"/>
  <c r="F220" i="104"/>
  <c r="C217" i="104"/>
  <c r="AB210" i="104"/>
  <c r="V210" i="104"/>
  <c r="AB209" i="104"/>
  <c r="V209" i="104"/>
  <c r="AB208" i="104"/>
  <c r="V208" i="104"/>
  <c r="AB207" i="104"/>
  <c r="V207" i="104"/>
  <c r="R207" i="104"/>
  <c r="AB206" i="104"/>
  <c r="V206" i="104"/>
  <c r="R206" i="104"/>
  <c r="V205" i="104"/>
  <c r="R205" i="104"/>
  <c r="AB204" i="104"/>
  <c r="V204" i="104"/>
  <c r="R204" i="104"/>
  <c r="AK203" i="104"/>
  <c r="AA203" i="104"/>
  <c r="R203" i="104"/>
  <c r="AB202" i="104"/>
  <c r="V202" i="104"/>
  <c r="R202" i="104"/>
  <c r="AB201" i="104"/>
  <c r="V201" i="104"/>
  <c r="R201" i="104"/>
  <c r="R200" i="104"/>
  <c r="AK199" i="104"/>
  <c r="AF199" i="104"/>
  <c r="AA199" i="104"/>
  <c r="V199" i="104"/>
  <c r="R199" i="104"/>
  <c r="AB198" i="104"/>
  <c r="AH198" i="104" s="1"/>
  <c r="V198" i="104"/>
  <c r="R198" i="104"/>
  <c r="AB197" i="104"/>
  <c r="V197" i="104"/>
  <c r="AB196" i="104"/>
  <c r="V196" i="104"/>
  <c r="AU195" i="104"/>
  <c r="V195" i="104"/>
  <c r="BX194" i="104"/>
  <c r="AU194" i="104"/>
  <c r="AI194" i="104"/>
  <c r="AB194" i="104"/>
  <c r="V194" i="104"/>
  <c r="BX193" i="104"/>
  <c r="AZ193" i="104"/>
  <c r="AU193" i="104"/>
  <c r="AI193" i="104"/>
  <c r="AB193" i="104"/>
  <c r="BX192" i="104"/>
  <c r="AZ192" i="104"/>
  <c r="AU192" i="104"/>
  <c r="V192" i="104"/>
  <c r="V191" i="104"/>
  <c r="AB190" i="104"/>
  <c r="V190" i="104"/>
  <c r="V189" i="104"/>
  <c r="K184" i="104"/>
  <c r="J184" i="104"/>
  <c r="I184" i="104"/>
  <c r="H184" i="104"/>
  <c r="G184" i="104"/>
  <c r="F184" i="104"/>
  <c r="C181" i="104"/>
  <c r="AB174" i="104"/>
  <c r="V174" i="104"/>
  <c r="AB173" i="104"/>
  <c r="V173" i="104"/>
  <c r="AB172" i="104"/>
  <c r="V172" i="104"/>
  <c r="AB171" i="104"/>
  <c r="V171" i="104"/>
  <c r="R171" i="104"/>
  <c r="AB170" i="104"/>
  <c r="V170" i="104"/>
  <c r="R170" i="104"/>
  <c r="V169" i="104"/>
  <c r="R169" i="104"/>
  <c r="AB168" i="104"/>
  <c r="V168" i="104"/>
  <c r="R168" i="104"/>
  <c r="AK167" i="104"/>
  <c r="AA167" i="104"/>
  <c r="R167" i="104"/>
  <c r="AB166" i="104"/>
  <c r="V166" i="104"/>
  <c r="R166" i="104"/>
  <c r="AB165" i="104"/>
  <c r="V165" i="104"/>
  <c r="R165" i="104"/>
  <c r="R164" i="104"/>
  <c r="AK163" i="104"/>
  <c r="AF163" i="104"/>
  <c r="AA163" i="104"/>
  <c r="V163" i="104"/>
  <c r="R163" i="104"/>
  <c r="AB162" i="104"/>
  <c r="AH162" i="104" s="1"/>
  <c r="V162" i="104"/>
  <c r="R162" i="104"/>
  <c r="AB161" i="104"/>
  <c r="V161" i="104"/>
  <c r="AB160" i="104"/>
  <c r="V160" i="104"/>
  <c r="AU159" i="104"/>
  <c r="V159" i="104"/>
  <c r="BX158" i="104"/>
  <c r="AU158" i="104"/>
  <c r="AI158" i="104"/>
  <c r="AB158" i="104"/>
  <c r="V158" i="104"/>
  <c r="BX157" i="104"/>
  <c r="AZ157" i="104"/>
  <c r="AU157" i="104"/>
  <c r="AI157" i="104"/>
  <c r="AB157" i="104"/>
  <c r="BX156" i="104"/>
  <c r="AZ156" i="104"/>
  <c r="AU156" i="104"/>
  <c r="V156" i="104"/>
  <c r="V155" i="104"/>
  <c r="AB154" i="104"/>
  <c r="V154" i="104"/>
  <c r="V153" i="104"/>
  <c r="K148" i="104"/>
  <c r="J148" i="104"/>
  <c r="I148" i="104"/>
  <c r="H148" i="104"/>
  <c r="G148" i="104"/>
  <c r="F148" i="104"/>
  <c r="C145" i="104"/>
  <c r="AB138" i="104"/>
  <c r="V138" i="104"/>
  <c r="AB137" i="104"/>
  <c r="V137" i="104"/>
  <c r="AB136" i="104"/>
  <c r="V136" i="104"/>
  <c r="AB135" i="104"/>
  <c r="V135" i="104"/>
  <c r="R135" i="104"/>
  <c r="AB134" i="104"/>
  <c r="V134" i="104"/>
  <c r="R134" i="104"/>
  <c r="V133" i="104"/>
  <c r="R133" i="104"/>
  <c r="AB132" i="104"/>
  <c r="V132" i="104"/>
  <c r="R132" i="104"/>
  <c r="AK131" i="104"/>
  <c r="AA131" i="104"/>
  <c r="R131" i="104"/>
  <c r="AB130" i="104"/>
  <c r="V130" i="104"/>
  <c r="R130" i="104"/>
  <c r="AB129" i="104"/>
  <c r="V129" i="104"/>
  <c r="R129" i="104"/>
  <c r="R128" i="104"/>
  <c r="AK127" i="104"/>
  <c r="AF127" i="104"/>
  <c r="AA127" i="104"/>
  <c r="V127" i="104"/>
  <c r="R127" i="104"/>
  <c r="AB126" i="104"/>
  <c r="AH126" i="104" s="1"/>
  <c r="V126" i="104"/>
  <c r="R126" i="104"/>
  <c r="AB125" i="104"/>
  <c r="V125" i="104"/>
  <c r="AB124" i="104"/>
  <c r="V124" i="104"/>
  <c r="AU123" i="104"/>
  <c r="V123" i="104"/>
  <c r="BX122" i="104"/>
  <c r="AU122" i="104"/>
  <c r="AI122" i="104"/>
  <c r="AB122" i="104"/>
  <c r="V122" i="104"/>
  <c r="BX121" i="104"/>
  <c r="AZ121" i="104"/>
  <c r="AU121" i="104"/>
  <c r="AI121" i="104"/>
  <c r="AB121" i="104"/>
  <c r="BX120" i="104"/>
  <c r="AZ120" i="104"/>
  <c r="AU120" i="104"/>
  <c r="V120" i="104"/>
  <c r="V119" i="104"/>
  <c r="AB118" i="104"/>
  <c r="V118" i="104"/>
  <c r="V117" i="104"/>
  <c r="K112" i="104"/>
  <c r="J112" i="104"/>
  <c r="I112" i="104"/>
  <c r="H112" i="104"/>
  <c r="G112" i="104"/>
  <c r="F112" i="104"/>
  <c r="C109" i="104"/>
  <c r="AB102" i="104"/>
  <c r="V102" i="104"/>
  <c r="AB101" i="104"/>
  <c r="V101" i="104"/>
  <c r="AB100" i="104"/>
  <c r="V100" i="104"/>
  <c r="AB99" i="104"/>
  <c r="V99" i="104"/>
  <c r="R99" i="104"/>
  <c r="AB98" i="104"/>
  <c r="V98" i="104"/>
  <c r="R98" i="104"/>
  <c r="V97" i="104"/>
  <c r="R97" i="104"/>
  <c r="AB96" i="104"/>
  <c r="V96" i="104"/>
  <c r="R96" i="104"/>
  <c r="AK95" i="104"/>
  <c r="AB95" i="104"/>
  <c r="R95" i="104"/>
  <c r="AB94" i="104"/>
  <c r="V94" i="104"/>
  <c r="R94" i="104"/>
  <c r="AB93" i="104"/>
  <c r="V93" i="104"/>
  <c r="R93" i="104"/>
  <c r="R92" i="104"/>
  <c r="AK91" i="104"/>
  <c r="AF91" i="104"/>
  <c r="AA91" i="104"/>
  <c r="V91" i="104"/>
  <c r="R91" i="104"/>
  <c r="AB90" i="104"/>
  <c r="AH90" i="104" s="1"/>
  <c r="V90" i="104"/>
  <c r="R90" i="104"/>
  <c r="AB89" i="104"/>
  <c r="V89" i="104"/>
  <c r="AB88" i="104"/>
  <c r="V88" i="104"/>
  <c r="AU87" i="104"/>
  <c r="V87" i="104"/>
  <c r="BX86" i="104"/>
  <c r="AU86" i="104"/>
  <c r="AI86" i="104"/>
  <c r="AB86" i="104"/>
  <c r="V86" i="104"/>
  <c r="BX85" i="104"/>
  <c r="AZ85" i="104"/>
  <c r="AU85" i="104"/>
  <c r="AI85" i="104"/>
  <c r="AB85" i="104"/>
  <c r="BX84" i="104"/>
  <c r="AZ84" i="104"/>
  <c r="AU84" i="104"/>
  <c r="V84" i="104"/>
  <c r="V83" i="104"/>
  <c r="AB82" i="104"/>
  <c r="V82" i="104"/>
  <c r="V81" i="104"/>
  <c r="K76" i="104"/>
  <c r="J76" i="104"/>
  <c r="I76" i="104"/>
  <c r="H76" i="104"/>
  <c r="G76" i="104"/>
  <c r="F76" i="104"/>
  <c r="C73" i="104"/>
  <c r="AB66" i="104"/>
  <c r="V66" i="104"/>
  <c r="AB65" i="104"/>
  <c r="V65" i="104"/>
  <c r="AB64" i="104"/>
  <c r="V64" i="104"/>
  <c r="AB63" i="104"/>
  <c r="V63" i="104"/>
  <c r="R63" i="104"/>
  <c r="AB62" i="104"/>
  <c r="V62" i="104"/>
  <c r="R62" i="104"/>
  <c r="V61" i="104"/>
  <c r="R61" i="104"/>
  <c r="AB60" i="104"/>
  <c r="V60" i="104"/>
  <c r="R60" i="104"/>
  <c r="AK59" i="104"/>
  <c r="AB59" i="104"/>
  <c r="R59" i="104"/>
  <c r="AB58" i="104"/>
  <c r="V58" i="104"/>
  <c r="R58" i="104"/>
  <c r="AB57" i="104"/>
  <c r="V57" i="104"/>
  <c r="R57" i="104"/>
  <c r="R56" i="104"/>
  <c r="AK55" i="104"/>
  <c r="AF55" i="104"/>
  <c r="AA55" i="104"/>
  <c r="V55" i="104"/>
  <c r="R55" i="104"/>
  <c r="AB54" i="104"/>
  <c r="AI54" i="104" s="1"/>
  <c r="V54" i="104"/>
  <c r="R54" i="104"/>
  <c r="AB53" i="104"/>
  <c r="V53" i="104"/>
  <c r="AB52" i="104"/>
  <c r="V52" i="104"/>
  <c r="AU51" i="104"/>
  <c r="V51" i="104"/>
  <c r="BX50" i="104"/>
  <c r="AU50" i="104"/>
  <c r="AI50" i="104"/>
  <c r="AB50" i="104"/>
  <c r="V50" i="104"/>
  <c r="BX49" i="104"/>
  <c r="AZ49" i="104"/>
  <c r="AU49" i="104"/>
  <c r="AI49" i="104"/>
  <c r="AB49" i="104"/>
  <c r="BX48" i="104"/>
  <c r="AZ48" i="104"/>
  <c r="AU48" i="104"/>
  <c r="V48" i="104"/>
  <c r="V47" i="104"/>
  <c r="AB46" i="104"/>
  <c r="V46" i="104"/>
  <c r="V45" i="104"/>
  <c r="K40" i="104"/>
  <c r="J40" i="104"/>
  <c r="I40" i="104"/>
  <c r="H40" i="104"/>
  <c r="G40" i="104"/>
  <c r="F40" i="104"/>
  <c r="C37" i="104"/>
  <c r="AB30" i="104"/>
  <c r="V30" i="104"/>
  <c r="AB29" i="104"/>
  <c r="V29" i="104"/>
  <c r="AB28" i="104"/>
  <c r="V28" i="104"/>
  <c r="AB27" i="104"/>
  <c r="V27" i="104"/>
  <c r="R27" i="104"/>
  <c r="AB26" i="104"/>
  <c r="V26" i="104"/>
  <c r="R26" i="104"/>
  <c r="V25" i="104"/>
  <c r="R25" i="104"/>
  <c r="AB24" i="104"/>
  <c r="V24" i="104"/>
  <c r="R24" i="104"/>
  <c r="AK23" i="104"/>
  <c r="AA23" i="104"/>
  <c r="R23" i="104"/>
  <c r="AB22" i="104"/>
  <c r="V22" i="104"/>
  <c r="R22" i="104"/>
  <c r="AB21" i="104"/>
  <c r="V21" i="104"/>
  <c r="R21" i="104"/>
  <c r="R20" i="104"/>
  <c r="AK19" i="104"/>
  <c r="AF19" i="104"/>
  <c r="AA19" i="104"/>
  <c r="V19" i="104"/>
  <c r="R19" i="104"/>
  <c r="V18" i="104"/>
  <c r="R18" i="104"/>
  <c r="AB17" i="104"/>
  <c r="V17" i="104"/>
  <c r="AB16" i="104"/>
  <c r="V16" i="104"/>
  <c r="AU15" i="104"/>
  <c r="V15" i="104"/>
  <c r="BX14" i="104"/>
  <c r="AU14" i="104"/>
  <c r="AI14" i="104"/>
  <c r="AB14" i="104"/>
  <c r="V14" i="104"/>
  <c r="BX13" i="104"/>
  <c r="AZ13" i="104"/>
  <c r="AU13" i="104"/>
  <c r="BX12" i="104"/>
  <c r="AZ12" i="104"/>
  <c r="AU12" i="104"/>
  <c r="V12" i="104"/>
  <c r="V11" i="104"/>
  <c r="AB10" i="104"/>
  <c r="V10" i="104"/>
  <c r="V9" i="104"/>
  <c r="AN1" i="104"/>
  <c r="BU2" i="63" l="1"/>
  <c r="BU2" i="61"/>
  <c r="BU2" i="59"/>
  <c r="BU2" i="57"/>
  <c r="BU2" i="55"/>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BU2" i="50"/>
  <c r="C34" i="51"/>
  <c r="C33" i="51"/>
  <c r="AC59" i="99"/>
  <c r="AC95" i="99"/>
  <c r="AC204" i="99"/>
  <c r="AC168" i="99"/>
  <c r="AC132" i="99"/>
  <c r="AC96" i="99"/>
  <c r="AC60" i="99"/>
  <c r="W204" i="99"/>
  <c r="W168" i="99"/>
  <c r="W132" i="99"/>
  <c r="W96" i="99"/>
  <c r="W60" i="99"/>
  <c r="W210" i="99" l="1"/>
  <c r="W174" i="99"/>
  <c r="W138" i="99"/>
  <c r="W102" i="99"/>
  <c r="W66" i="99"/>
  <c r="EF65" i="50"/>
  <c r="BU3" i="63" l="1"/>
  <c r="CD35" i="63"/>
  <c r="CC35" i="63"/>
  <c r="CD34" i="63"/>
  <c r="CC34" i="63"/>
  <c r="CD33" i="63"/>
  <c r="CC33" i="63"/>
  <c r="CD32" i="63"/>
  <c r="CC32" i="63"/>
  <c r="J15" i="63"/>
  <c r="J14" i="63"/>
  <c r="CD35" i="61"/>
  <c r="CC35" i="61"/>
  <c r="CD34" i="61"/>
  <c r="CC34" i="61"/>
  <c r="CD33" i="61"/>
  <c r="CC33" i="61"/>
  <c r="CD32" i="61"/>
  <c r="CC32" i="61"/>
  <c r="J15" i="61"/>
  <c r="J14" i="61"/>
  <c r="BU3" i="61"/>
  <c r="BU3" i="59"/>
  <c r="CD35" i="59"/>
  <c r="CC35" i="59"/>
  <c r="CD34" i="59"/>
  <c r="CC34" i="59"/>
  <c r="CD33" i="59"/>
  <c r="CC33" i="59"/>
  <c r="CD32" i="59"/>
  <c r="CC32" i="59"/>
  <c r="J15" i="59"/>
  <c r="J14" i="59"/>
  <c r="BU3" i="57"/>
  <c r="CD35" i="57"/>
  <c r="CC35" i="57"/>
  <c r="CD34" i="57"/>
  <c r="CC34" i="57"/>
  <c r="CD33" i="57"/>
  <c r="CC33" i="57"/>
  <c r="CD32" i="57"/>
  <c r="CC32" i="57"/>
  <c r="J15" i="57"/>
  <c r="J14" i="57"/>
  <c r="BU3" i="55"/>
  <c r="CD35" i="55"/>
  <c r="CC35" i="55"/>
  <c r="CD34" i="55"/>
  <c r="CC34" i="55"/>
  <c r="CD33" i="55"/>
  <c r="CC33" i="55"/>
  <c r="CD32" i="55"/>
  <c r="CC32" i="55"/>
  <c r="J15" i="55"/>
  <c r="J14" i="55"/>
  <c r="AU30" i="32" l="1"/>
  <c r="AC16" i="99"/>
  <c r="AC24" i="99" l="1"/>
  <c r="W24" i="99"/>
  <c r="BY194" i="99" l="1"/>
  <c r="BY121" i="99"/>
  <c r="AC22" i="99"/>
  <c r="W19" i="99"/>
  <c r="B6" i="30"/>
  <c r="C6" i="30"/>
  <c r="D6" i="30"/>
  <c r="B7" i="30"/>
  <c r="C7" i="30"/>
  <c r="D7" i="30"/>
  <c r="B8" i="30"/>
  <c r="C8" i="30"/>
  <c r="D8" i="30"/>
  <c r="B9" i="30"/>
  <c r="C9" i="30"/>
  <c r="D9" i="30"/>
  <c r="B10" i="30"/>
  <c r="C10" i="30"/>
  <c r="D10" i="30"/>
  <c r="B11" i="30"/>
  <c r="C11" i="30"/>
  <c r="D11" i="30"/>
  <c r="B12" i="30"/>
  <c r="C12" i="30"/>
  <c r="D12" i="30"/>
  <c r="B13" i="30"/>
  <c r="C13" i="30"/>
  <c r="D13" i="30"/>
  <c r="B14" i="30"/>
  <c r="C14" i="30"/>
  <c r="D14" i="30"/>
  <c r="B15" i="30"/>
  <c r="C15" i="30"/>
  <c r="D15" i="30"/>
  <c r="B16" i="30"/>
  <c r="C16" i="30"/>
  <c r="D16" i="30"/>
  <c r="B17" i="30"/>
  <c r="C17" i="30"/>
  <c r="D17" i="30"/>
  <c r="B18" i="30"/>
  <c r="C18" i="30"/>
  <c r="D18" i="30"/>
  <c r="B19" i="30"/>
  <c r="C19" i="30"/>
  <c r="D19" i="30"/>
  <c r="B20" i="30"/>
  <c r="C20" i="30"/>
  <c r="D20" i="30"/>
  <c r="B21" i="30"/>
  <c r="C21" i="30"/>
  <c r="D21" i="30"/>
  <c r="B22" i="30"/>
  <c r="C22" i="30"/>
  <c r="D22" i="30"/>
  <c r="B23" i="30"/>
  <c r="C23" i="30"/>
  <c r="D23" i="30"/>
  <c r="B24" i="30"/>
  <c r="C24" i="30"/>
  <c r="D24" i="30"/>
  <c r="B25" i="30"/>
  <c r="C25" i="30"/>
  <c r="D25" i="30"/>
  <c r="B26" i="30"/>
  <c r="C26" i="30"/>
  <c r="D26" i="30"/>
  <c r="B27" i="30"/>
  <c r="C27" i="30"/>
  <c r="D27" i="30"/>
  <c r="B28" i="30"/>
  <c r="C28" i="30"/>
  <c r="D28" i="30"/>
  <c r="B29" i="30"/>
  <c r="C29" i="30"/>
  <c r="D29" i="30"/>
  <c r="B30" i="30"/>
  <c r="C30" i="30"/>
  <c r="D30" i="30"/>
  <c r="B31" i="30"/>
  <c r="C31" i="30"/>
  <c r="D31" i="30"/>
  <c r="B32" i="30"/>
  <c r="C32" i="30"/>
  <c r="D32" i="30"/>
  <c r="B33" i="30"/>
  <c r="C33" i="30"/>
  <c r="D33" i="30"/>
  <c r="B34" i="30"/>
  <c r="C34" i="30"/>
  <c r="D34" i="30"/>
  <c r="B35" i="30"/>
  <c r="C35" i="30"/>
  <c r="D35" i="30"/>
  <c r="B36" i="30"/>
  <c r="C36" i="30"/>
  <c r="D36" i="30"/>
  <c r="B37" i="30"/>
  <c r="C37" i="30"/>
  <c r="D37" i="30"/>
  <c r="B38" i="30"/>
  <c r="C38" i="30"/>
  <c r="D38" i="30"/>
  <c r="B39" i="30"/>
  <c r="C39" i="30"/>
  <c r="D39" i="30"/>
  <c r="B40" i="30"/>
  <c r="C40" i="30"/>
  <c r="D40" i="30"/>
  <c r="B41" i="30"/>
  <c r="C41" i="30"/>
  <c r="D41" i="30"/>
  <c r="B42" i="30"/>
  <c r="C42" i="30"/>
  <c r="D42" i="30"/>
  <c r="B43" i="30"/>
  <c r="C43" i="30"/>
  <c r="D43" i="30"/>
  <c r="B44" i="30"/>
  <c r="C44" i="30"/>
  <c r="D44" i="30"/>
  <c r="B45" i="30"/>
  <c r="C45" i="30"/>
  <c r="D45" i="30"/>
  <c r="B46" i="30"/>
  <c r="C46" i="30"/>
  <c r="D46" i="30"/>
  <c r="B47" i="30"/>
  <c r="C47" i="30"/>
  <c r="D47" i="30"/>
  <c r="B52" i="30"/>
  <c r="C52" i="30"/>
  <c r="D52" i="30"/>
  <c r="B53" i="30"/>
  <c r="C53" i="30"/>
  <c r="D53" i="30"/>
  <c r="B54" i="30"/>
  <c r="C54" i="30"/>
  <c r="D54" i="30"/>
  <c r="B55" i="30"/>
  <c r="C55" i="30"/>
  <c r="D55" i="30"/>
  <c r="B56" i="30"/>
  <c r="C56" i="30"/>
  <c r="D56" i="30"/>
  <c r="B57" i="30"/>
  <c r="C57" i="30"/>
  <c r="D57" i="30"/>
  <c r="B58" i="30"/>
  <c r="C58" i="30"/>
  <c r="D58" i="30"/>
  <c r="B59" i="30"/>
  <c r="C59" i="30"/>
  <c r="D59" i="30"/>
  <c r="B60" i="30"/>
  <c r="C60" i="30"/>
  <c r="D60" i="30"/>
  <c r="B61" i="30"/>
  <c r="C61" i="30"/>
  <c r="D61" i="30"/>
  <c r="B62" i="30"/>
  <c r="C62" i="30"/>
  <c r="D62" i="30"/>
  <c r="B63" i="30"/>
  <c r="C63" i="30"/>
  <c r="D63" i="30"/>
  <c r="B64" i="30"/>
  <c r="C64" i="30"/>
  <c r="D64" i="30"/>
  <c r="B65" i="30"/>
  <c r="C65" i="30"/>
  <c r="D65" i="30"/>
  <c r="B66" i="30"/>
  <c r="C66" i="30"/>
  <c r="D66" i="30"/>
  <c r="B67" i="30"/>
  <c r="C67" i="30"/>
  <c r="D67" i="30"/>
  <c r="B68" i="30"/>
  <c r="C68" i="30"/>
  <c r="D68" i="30"/>
  <c r="B69" i="30"/>
  <c r="C69" i="30"/>
  <c r="D69" i="30"/>
  <c r="B70" i="30"/>
  <c r="C70" i="30"/>
  <c r="D70" i="30"/>
  <c r="B71" i="30"/>
  <c r="C71" i="30"/>
  <c r="D71" i="30"/>
  <c r="B72" i="30"/>
  <c r="C72" i="30"/>
  <c r="D72" i="30"/>
  <c r="B73" i="30"/>
  <c r="C73" i="30"/>
  <c r="D73" i="30"/>
  <c r="B74" i="30"/>
  <c r="C74" i="30"/>
  <c r="D74" i="30"/>
  <c r="B75" i="30"/>
  <c r="C75" i="30"/>
  <c r="D75" i="30"/>
  <c r="B76" i="30"/>
  <c r="C76" i="30"/>
  <c r="D76" i="30"/>
  <c r="B77" i="30"/>
  <c r="C77" i="30"/>
  <c r="D77" i="30"/>
  <c r="B78" i="30"/>
  <c r="C78" i="30"/>
  <c r="D78" i="30"/>
  <c r="B79" i="30"/>
  <c r="C79" i="30"/>
  <c r="D79" i="30"/>
  <c r="B80" i="30"/>
  <c r="C80" i="30"/>
  <c r="D80" i="30"/>
  <c r="B81" i="30"/>
  <c r="C81" i="30"/>
  <c r="D81" i="30"/>
  <c r="B82" i="30"/>
  <c r="C82" i="30"/>
  <c r="D82" i="30"/>
  <c r="B83" i="30"/>
  <c r="C83" i="30"/>
  <c r="D83" i="30"/>
  <c r="B84" i="30"/>
  <c r="C84" i="30"/>
  <c r="D84" i="30"/>
  <c r="B85" i="30"/>
  <c r="C85" i="30"/>
  <c r="D85" i="30"/>
  <c r="B86" i="30"/>
  <c r="C86" i="30"/>
  <c r="D86" i="30"/>
  <c r="B87" i="30"/>
  <c r="C87" i="30"/>
  <c r="D87" i="30"/>
  <c r="B88" i="30"/>
  <c r="C88" i="30"/>
  <c r="D88" i="30"/>
  <c r="B89" i="30"/>
  <c r="C89" i="30"/>
  <c r="D89" i="30"/>
  <c r="B90" i="30"/>
  <c r="C90" i="30"/>
  <c r="D90" i="30"/>
  <c r="B91" i="30"/>
  <c r="C91" i="30"/>
  <c r="D91" i="30"/>
  <c r="B92" i="30"/>
  <c r="C92" i="30"/>
  <c r="D92" i="30"/>
  <c r="B93" i="30"/>
  <c r="C93" i="30"/>
  <c r="D93" i="30"/>
  <c r="B94" i="30"/>
  <c r="C94" i="30"/>
  <c r="D94" i="30"/>
  <c r="B95" i="30"/>
  <c r="C95" i="30"/>
  <c r="D95" i="30"/>
  <c r="B96" i="30"/>
  <c r="C96" i="30"/>
  <c r="D96" i="30"/>
  <c r="B97" i="30"/>
  <c r="C97" i="30"/>
  <c r="D97" i="30"/>
  <c r="B98" i="30"/>
  <c r="C98" i="30"/>
  <c r="D98" i="30"/>
  <c r="B99" i="30"/>
  <c r="C99" i="30"/>
  <c r="D99" i="30"/>
  <c r="B100" i="30"/>
  <c r="C100" i="30"/>
  <c r="D100" i="30"/>
  <c r="B101" i="30"/>
  <c r="C101" i="30"/>
  <c r="D101" i="30"/>
  <c r="B102" i="30"/>
  <c r="C102" i="30"/>
  <c r="D102" i="30"/>
  <c r="B103" i="30"/>
  <c r="C103" i="30"/>
  <c r="D103" i="30"/>
  <c r="B104" i="30"/>
  <c r="C104" i="30"/>
  <c r="D104" i="30"/>
  <c r="B105" i="30"/>
  <c r="C105" i="30"/>
  <c r="D105" i="30"/>
  <c r="B106" i="30"/>
  <c r="C106" i="30"/>
  <c r="D106" i="30"/>
  <c r="B107" i="30"/>
  <c r="C107" i="30"/>
  <c r="D107" i="30"/>
  <c r="B108" i="30"/>
  <c r="C108" i="30"/>
  <c r="D108" i="30"/>
  <c r="B109" i="30"/>
  <c r="C109" i="30"/>
  <c r="D109" i="30"/>
  <c r="B110" i="30"/>
  <c r="C110" i="30"/>
  <c r="D110" i="30"/>
  <c r="B111" i="30"/>
  <c r="C111" i="30"/>
  <c r="D111" i="30"/>
  <c r="B112" i="30"/>
  <c r="C112" i="30"/>
  <c r="D112" i="30"/>
  <c r="C121" i="30"/>
  <c r="D121" i="30"/>
  <c r="G121" i="30"/>
  <c r="I121" i="30"/>
  <c r="K121" i="30"/>
  <c r="C122" i="30"/>
  <c r="D122" i="30"/>
  <c r="G122" i="30"/>
  <c r="I122" i="30"/>
  <c r="K122" i="30"/>
  <c r="C123" i="30"/>
  <c r="D123" i="30"/>
  <c r="G123" i="30"/>
  <c r="I123" i="30"/>
  <c r="K123" i="30"/>
  <c r="C124" i="30"/>
  <c r="D124" i="30"/>
  <c r="G124" i="30"/>
  <c r="I124" i="30"/>
  <c r="K124" i="30"/>
  <c r="B129" i="30"/>
  <c r="B130" i="30"/>
  <c r="B131" i="30"/>
  <c r="B132" i="30"/>
  <c r="B133" i="30"/>
  <c r="B134" i="30"/>
  <c r="B135" i="30"/>
  <c r="B136" i="30"/>
  <c r="B137" i="30"/>
  <c r="B138" i="30"/>
  <c r="B139" i="30"/>
  <c r="B140" i="30"/>
  <c r="B141" i="30"/>
  <c r="B142" i="30"/>
  <c r="B143" i="30"/>
  <c r="B144" i="30"/>
  <c r="B145" i="30"/>
  <c r="B146" i="30"/>
  <c r="B147" i="30"/>
  <c r="B148" i="30"/>
  <c r="B149" i="30"/>
  <c r="B150" i="30"/>
  <c r="B151" i="30"/>
  <c r="B152" i="30"/>
  <c r="B153" i="30"/>
  <c r="B154" i="30"/>
  <c r="B155" i="30"/>
  <c r="B156" i="30"/>
  <c r="B157" i="30"/>
  <c r="B158" i="30"/>
  <c r="B159" i="30"/>
  <c r="B160" i="30"/>
  <c r="B161" i="30"/>
  <c r="B162" i="30"/>
  <c r="B163" i="30"/>
  <c r="B164" i="30"/>
  <c r="B165" i="30"/>
  <c r="B166" i="30"/>
  <c r="B167" i="30"/>
  <c r="B168" i="30"/>
  <c r="B169" i="30"/>
  <c r="B170" i="30"/>
  <c r="B171" i="30"/>
  <c r="B172" i="30"/>
  <c r="B173" i="30"/>
  <c r="B174" i="30"/>
  <c r="B175" i="30"/>
  <c r="B176" i="30"/>
  <c r="B177" i="30"/>
  <c r="B178" i="30"/>
  <c r="B179" i="30"/>
  <c r="B180" i="30"/>
  <c r="B181" i="30"/>
  <c r="B182" i="30"/>
  <c r="B183" i="30"/>
  <c r="B184" i="30"/>
  <c r="B185" i="30"/>
  <c r="B186" i="30"/>
  <c r="B187" i="30"/>
  <c r="B188" i="30"/>
  <c r="B189" i="30"/>
  <c r="B190" i="30"/>
  <c r="B191" i="30"/>
  <c r="B192" i="30"/>
  <c r="B193" i="30"/>
  <c r="B194" i="30"/>
  <c r="B195" i="30"/>
  <c r="B196" i="30"/>
  <c r="B197" i="30"/>
  <c r="B198" i="30"/>
  <c r="B199" i="30"/>
  <c r="B200" i="30"/>
  <c r="B201" i="30"/>
  <c r="B202" i="30"/>
  <c r="B203" i="30"/>
  <c r="B204" i="30"/>
  <c r="B205" i="30"/>
  <c r="B206" i="30"/>
  <c r="B207" i="30"/>
  <c r="B208" i="30"/>
  <c r="B209" i="30"/>
  <c r="B210" i="30"/>
  <c r="B211" i="30"/>
  <c r="B212" i="30"/>
  <c r="B213" i="30"/>
  <c r="B214" i="30"/>
  <c r="B215" i="30"/>
  <c r="B216" i="30"/>
  <c r="B217" i="30"/>
  <c r="B218" i="30"/>
  <c r="B219" i="30"/>
  <c r="B220" i="30"/>
  <c r="B221" i="30"/>
  <c r="B222" i="30"/>
  <c r="B223" i="30"/>
  <c r="B224" i="30"/>
  <c r="B225" i="30"/>
  <c r="B226" i="30"/>
  <c r="B227" i="30"/>
  <c r="B228" i="30"/>
  <c r="B229" i="30"/>
  <c r="B230" i="30"/>
  <c r="B231" i="30"/>
  <c r="B232" i="30"/>
  <c r="B233" i="30"/>
  <c r="B234" i="30"/>
  <c r="B235" i="30"/>
  <c r="B236" i="30"/>
  <c r="B237" i="30"/>
  <c r="B238" i="30"/>
  <c r="B239" i="30"/>
  <c r="B240" i="30"/>
  <c r="B241" i="30"/>
  <c r="B242" i="30"/>
  <c r="B243" i="30"/>
  <c r="B244" i="30"/>
  <c r="B245" i="30"/>
  <c r="B246" i="30"/>
  <c r="B247" i="30"/>
  <c r="B248" i="30"/>
  <c r="B249" i="30"/>
  <c r="B250" i="30"/>
  <c r="G942" i="30" s="1"/>
  <c r="B251" i="30"/>
  <c r="B252" i="30"/>
  <c r="B253" i="30"/>
  <c r="B254" i="30"/>
  <c r="B255" i="30"/>
  <c r="B256" i="30"/>
  <c r="B257" i="30"/>
  <c r="B258" i="30"/>
  <c r="B259" i="30"/>
  <c r="B260" i="30"/>
  <c r="B261" i="30"/>
  <c r="B262" i="30"/>
  <c r="B263" i="30"/>
  <c r="B264" i="30"/>
  <c r="B265" i="30"/>
  <c r="B266" i="30"/>
  <c r="B267" i="30"/>
  <c r="B268" i="30"/>
  <c r="B269" i="30"/>
  <c r="B270" i="30"/>
  <c r="B271" i="30"/>
  <c r="B272" i="30"/>
  <c r="B273" i="30"/>
  <c r="B274" i="30"/>
  <c r="B275" i="30"/>
  <c r="B276" i="30"/>
  <c r="B277" i="30"/>
  <c r="B278" i="30"/>
  <c r="B279" i="30"/>
  <c r="B280" i="30"/>
  <c r="B281" i="30"/>
  <c r="B282" i="30"/>
  <c r="B283" i="30"/>
  <c r="B284" i="30"/>
  <c r="B285" i="30"/>
  <c r="B286" i="30"/>
  <c r="B287" i="30"/>
  <c r="B288" i="30"/>
  <c r="B289" i="30"/>
  <c r="B290" i="30"/>
  <c r="B291" i="30"/>
  <c r="B292" i="30"/>
  <c r="B293" i="30"/>
  <c r="B294" i="30"/>
  <c r="B295" i="30"/>
  <c r="B296" i="30"/>
  <c r="B297" i="30"/>
  <c r="B298" i="30"/>
  <c r="B299" i="30"/>
  <c r="B300" i="30"/>
  <c r="B301" i="30"/>
  <c r="B302" i="30"/>
  <c r="B303" i="30"/>
  <c r="B304" i="30"/>
  <c r="B305" i="30"/>
  <c r="B306" i="30"/>
  <c r="B307" i="30"/>
  <c r="B308" i="30"/>
  <c r="B309" i="30"/>
  <c r="B310" i="30"/>
  <c r="B311" i="30"/>
  <c r="B312" i="30"/>
  <c r="B313" i="30"/>
  <c r="B314" i="30"/>
  <c r="B315" i="30"/>
  <c r="B316" i="30"/>
  <c r="B317" i="30"/>
  <c r="B318" i="30"/>
  <c r="B319" i="30"/>
  <c r="B320" i="30"/>
  <c r="B321" i="30"/>
  <c r="B322" i="30"/>
  <c r="B323" i="30"/>
  <c r="B324" i="30"/>
  <c r="B325" i="30"/>
  <c r="B326" i="30"/>
  <c r="B327" i="30"/>
  <c r="B328" i="30"/>
  <c r="B329" i="30"/>
  <c r="B330" i="30"/>
  <c r="B331" i="30"/>
  <c r="B332" i="30"/>
  <c r="B333" i="30"/>
  <c r="B334" i="30"/>
  <c r="B335" i="30"/>
  <c r="B336" i="30"/>
  <c r="B337" i="30"/>
  <c r="B338" i="30"/>
  <c r="B339" i="30"/>
  <c r="B340" i="30"/>
  <c r="B341" i="30"/>
  <c r="B342" i="30"/>
  <c r="B343" i="30"/>
  <c r="B344" i="30"/>
  <c r="B345" i="30"/>
  <c r="B346" i="30"/>
  <c r="B347" i="30"/>
  <c r="B348" i="30"/>
  <c r="B349" i="30"/>
  <c r="B350" i="30"/>
  <c r="B351" i="30"/>
  <c r="B352" i="30"/>
  <c r="B353" i="30"/>
  <c r="B354" i="30"/>
  <c r="B355" i="30"/>
  <c r="B356" i="30"/>
  <c r="B357" i="30"/>
  <c r="B358" i="30"/>
  <c r="B359" i="30"/>
  <c r="B360" i="30"/>
  <c r="B361" i="30"/>
  <c r="B362" i="30"/>
  <c r="B363" i="30"/>
  <c r="B364" i="30"/>
  <c r="B365" i="30"/>
  <c r="B366" i="30"/>
  <c r="B367" i="30"/>
  <c r="B368" i="30"/>
  <c r="B369" i="30"/>
  <c r="B370" i="30"/>
  <c r="B371" i="30"/>
  <c r="B372" i="30"/>
  <c r="B373" i="30"/>
  <c r="B374" i="30"/>
  <c r="B375" i="30"/>
  <c r="B376" i="30"/>
  <c r="B377" i="30"/>
  <c r="B378" i="30"/>
  <c r="B379" i="30"/>
  <c r="B380" i="30"/>
  <c r="B381" i="30"/>
  <c r="B382" i="30"/>
  <c r="B383" i="30"/>
  <c r="B384" i="30"/>
  <c r="B385" i="30"/>
  <c r="B386" i="30"/>
  <c r="B387" i="30"/>
  <c r="B388" i="30"/>
  <c r="B389" i="30"/>
  <c r="B390" i="30"/>
  <c r="B391" i="30"/>
  <c r="B392" i="30"/>
  <c r="B393" i="30"/>
  <c r="B394" i="30"/>
  <c r="B395" i="30"/>
  <c r="B396" i="30"/>
  <c r="B397" i="30"/>
  <c r="B398" i="30"/>
  <c r="B399" i="30"/>
  <c r="B400" i="30"/>
  <c r="B401" i="30"/>
  <c r="B402" i="30"/>
  <c r="B403" i="30"/>
  <c r="B404" i="30"/>
  <c r="B405" i="30"/>
  <c r="B406" i="30"/>
  <c r="B407" i="30"/>
  <c r="B408" i="30"/>
  <c r="B409" i="30"/>
  <c r="B410" i="30"/>
  <c r="B411" i="30"/>
  <c r="B412" i="30"/>
  <c r="B413" i="30"/>
  <c r="B414" i="30"/>
  <c r="B415" i="30"/>
  <c r="B416" i="30"/>
  <c r="B417" i="30"/>
  <c r="B418" i="30"/>
  <c r="B419" i="30"/>
  <c r="B420" i="30"/>
  <c r="B421" i="30"/>
  <c r="B422" i="30"/>
  <c r="B423" i="30"/>
  <c r="B424" i="30"/>
  <c r="B425" i="30"/>
  <c r="B426" i="30"/>
  <c r="B427" i="30"/>
  <c r="B428" i="30"/>
  <c r="B429" i="30"/>
  <c r="B430" i="30"/>
  <c r="B431" i="30"/>
  <c r="B432" i="30"/>
  <c r="B433" i="30"/>
  <c r="B434" i="30"/>
  <c r="B435" i="30"/>
  <c r="B436" i="30"/>
  <c r="B437" i="30"/>
  <c r="B438" i="30"/>
  <c r="B439" i="30"/>
  <c r="B440" i="30"/>
  <c r="B441" i="30"/>
  <c r="B442" i="30"/>
  <c r="B443" i="30"/>
  <c r="B444" i="30"/>
  <c r="B445" i="30"/>
  <c r="B446" i="30"/>
  <c r="B447" i="30"/>
  <c r="B448" i="30"/>
  <c r="B449" i="30"/>
  <c r="B450" i="30"/>
  <c r="B451" i="30"/>
  <c r="B452" i="30"/>
  <c r="B453" i="30"/>
  <c r="B454" i="30"/>
  <c r="B455" i="30"/>
  <c r="B456" i="30"/>
  <c r="B457" i="30"/>
  <c r="B458" i="30"/>
  <c r="B459" i="30"/>
  <c r="B460" i="30"/>
  <c r="B461" i="30"/>
  <c r="B462" i="30"/>
  <c r="B463" i="30"/>
  <c r="B464" i="30"/>
  <c r="B465" i="30"/>
  <c r="B466" i="30"/>
  <c r="B467" i="30"/>
  <c r="B468" i="30"/>
  <c r="B469" i="30"/>
  <c r="B470" i="30"/>
  <c r="B471" i="30"/>
  <c r="B472" i="30"/>
  <c r="B473" i="30"/>
  <c r="B474" i="30"/>
  <c r="B475" i="30"/>
  <c r="B476" i="30"/>
  <c r="B477" i="30"/>
  <c r="B478" i="30"/>
  <c r="B479" i="30"/>
  <c r="B480" i="30"/>
  <c r="B481" i="30"/>
  <c r="B482" i="30"/>
  <c r="B483" i="30"/>
  <c r="B484" i="30"/>
  <c r="B485" i="30"/>
  <c r="B486" i="30"/>
  <c r="B487" i="30"/>
  <c r="B488" i="30"/>
  <c r="B489" i="30"/>
  <c r="B490" i="30"/>
  <c r="B491" i="30"/>
  <c r="B492" i="30"/>
  <c r="B493" i="30"/>
  <c r="B494" i="30"/>
  <c r="B495" i="30"/>
  <c r="B496" i="30"/>
  <c r="B497" i="30"/>
  <c r="B498" i="30"/>
  <c r="B499" i="30"/>
  <c r="B500" i="30"/>
  <c r="D849" i="30"/>
  <c r="D850" i="30"/>
  <c r="D851" i="30"/>
  <c r="D852" i="30"/>
  <c r="D853" i="30"/>
  <c r="D854" i="30"/>
  <c r="D855" i="30"/>
  <c r="D856" i="30"/>
  <c r="D857" i="30"/>
  <c r="D858" i="30"/>
  <c r="D859" i="30"/>
  <c r="D860" i="30"/>
  <c r="D861" i="30"/>
  <c r="D862" i="30"/>
  <c r="D863" i="30"/>
  <c r="D864" i="30"/>
  <c r="D865" i="30"/>
  <c r="D866" i="30"/>
  <c r="D867" i="30"/>
  <c r="D868" i="30"/>
  <c r="D869" i="30"/>
  <c r="D870" i="30"/>
  <c r="D871" i="30"/>
  <c r="D872" i="30"/>
  <c r="D873" i="30"/>
  <c r="D874" i="30"/>
  <c r="D875" i="30"/>
  <c r="D876" i="30"/>
  <c r="D877" i="30"/>
  <c r="D878" i="30"/>
  <c r="D879" i="30"/>
  <c r="D880" i="30"/>
  <c r="D881" i="30"/>
  <c r="D882" i="30"/>
  <c r="D883" i="30"/>
  <c r="D884" i="30"/>
  <c r="D885" i="30"/>
  <c r="D886" i="30"/>
  <c r="D887" i="30"/>
  <c r="D888" i="30"/>
  <c r="D889" i="30"/>
  <c r="D890" i="30"/>
  <c r="D891" i="30"/>
  <c r="D892" i="30"/>
  <c r="D893" i="30"/>
  <c r="D894" i="30"/>
  <c r="D895" i="30"/>
  <c r="D896" i="30"/>
  <c r="D897" i="30"/>
  <c r="D898" i="30"/>
  <c r="D899" i="30"/>
  <c r="D900" i="30"/>
  <c r="D901" i="30"/>
  <c r="D902" i="30"/>
  <c r="D903" i="30"/>
  <c r="D904" i="30"/>
  <c r="D905" i="30"/>
  <c r="D906" i="30"/>
  <c r="D907" i="30"/>
  <c r="D908" i="30"/>
  <c r="D909" i="30"/>
  <c r="D910" i="30"/>
  <c r="D911" i="30"/>
  <c r="D912" i="30"/>
  <c r="D913" i="30"/>
  <c r="D914" i="30"/>
  <c r="D915" i="30"/>
  <c r="D916" i="30"/>
  <c r="D917" i="30"/>
  <c r="D918" i="30"/>
  <c r="D919" i="30"/>
  <c r="F921" i="30"/>
  <c r="G921" i="30"/>
  <c r="F922" i="30"/>
  <c r="G922" i="30"/>
  <c r="F923" i="30"/>
  <c r="G923" i="30"/>
  <c r="F924" i="30"/>
  <c r="G924" i="30"/>
  <c r="F925" i="30"/>
  <c r="G925" i="30"/>
  <c r="F926" i="30"/>
  <c r="G926" i="30"/>
  <c r="F927" i="30"/>
  <c r="G927" i="30"/>
  <c r="F928" i="30"/>
  <c r="G928" i="30"/>
  <c r="F929" i="30"/>
  <c r="G929" i="30"/>
  <c r="F930" i="30"/>
  <c r="G930" i="30"/>
  <c r="F931" i="30"/>
  <c r="G931" i="30"/>
  <c r="F932" i="30"/>
  <c r="G932" i="30"/>
  <c r="F933" i="30"/>
  <c r="G933" i="30"/>
  <c r="F934" i="30"/>
  <c r="G934" i="30"/>
  <c r="F935" i="30"/>
  <c r="G935" i="30"/>
  <c r="F936" i="30"/>
  <c r="G936" i="30"/>
  <c r="F937" i="30"/>
  <c r="G937" i="30"/>
  <c r="F938" i="30"/>
  <c r="G938" i="30"/>
  <c r="F939" i="30"/>
  <c r="G939" i="30"/>
  <c r="F940" i="30"/>
  <c r="G940" i="30"/>
  <c r="G941" i="30"/>
  <c r="G943" i="30"/>
  <c r="F944" i="30"/>
  <c r="D950" i="30"/>
  <c r="E950" i="30"/>
  <c r="F950" i="30"/>
  <c r="G950" i="30"/>
  <c r="H950" i="30"/>
  <c r="I950" i="30"/>
  <c r="D951" i="30"/>
  <c r="E951" i="30"/>
  <c r="F951" i="30"/>
  <c r="G951" i="30"/>
  <c r="H951" i="30"/>
  <c r="I951" i="30"/>
  <c r="D952" i="30"/>
  <c r="E952" i="30"/>
  <c r="F952" i="30"/>
  <c r="G952" i="30"/>
  <c r="H952" i="30"/>
  <c r="I952" i="30"/>
  <c r="D953" i="30"/>
  <c r="E953" i="30"/>
  <c r="F953" i="30"/>
  <c r="G953" i="30"/>
  <c r="H953" i="30"/>
  <c r="I953" i="30"/>
  <c r="D954" i="30"/>
  <c r="E954" i="30"/>
  <c r="F954" i="30"/>
  <c r="G954" i="30"/>
  <c r="H954" i="30"/>
  <c r="I954" i="30"/>
  <c r="D955" i="30"/>
  <c r="E955" i="30"/>
  <c r="F955" i="30"/>
  <c r="G955" i="30"/>
  <c r="H955" i="30"/>
  <c r="I955" i="30"/>
  <c r="D956" i="30"/>
  <c r="E956" i="30"/>
  <c r="F956" i="30"/>
  <c r="G956" i="30"/>
  <c r="H956" i="30"/>
  <c r="I956" i="30"/>
  <c r="D957" i="30"/>
  <c r="E957" i="30"/>
  <c r="F957" i="30"/>
  <c r="G957" i="30"/>
  <c r="H957" i="30"/>
  <c r="I957" i="30"/>
  <c r="D958" i="30"/>
  <c r="E958" i="30"/>
  <c r="F958" i="30"/>
  <c r="G958" i="30"/>
  <c r="H958" i="30"/>
  <c r="I958" i="30"/>
  <c r="D959" i="30"/>
  <c r="E959" i="30"/>
  <c r="F959" i="30"/>
  <c r="G959" i="30"/>
  <c r="H959" i="30"/>
  <c r="I959" i="30"/>
  <c r="D960" i="30"/>
  <c r="E960" i="30"/>
  <c r="F960" i="30"/>
  <c r="G960" i="30"/>
  <c r="H960" i="30"/>
  <c r="I960" i="30"/>
  <c r="D961" i="30"/>
  <c r="E961" i="30"/>
  <c r="F961" i="30"/>
  <c r="G961" i="30"/>
  <c r="H961" i="30"/>
  <c r="I961" i="30"/>
  <c r="D962" i="30"/>
  <c r="E962" i="30"/>
  <c r="F962" i="30"/>
  <c r="G962" i="30"/>
  <c r="H962" i="30"/>
  <c r="I962" i="30"/>
  <c r="D963" i="30"/>
  <c r="E963" i="30"/>
  <c r="F963" i="30"/>
  <c r="G963" i="30"/>
  <c r="H963" i="30"/>
  <c r="I963" i="30"/>
  <c r="D964" i="30"/>
  <c r="E964" i="30"/>
  <c r="F965" i="30"/>
  <c r="E965" i="30" s="1"/>
  <c r="G965" i="30"/>
  <c r="H965" i="30"/>
  <c r="I965" i="30"/>
  <c r="F966" i="30"/>
  <c r="E966" i="30" s="1"/>
  <c r="G966" i="30"/>
  <c r="H966" i="30"/>
  <c r="I966" i="30"/>
  <c r="F967" i="30"/>
  <c r="E967" i="30" s="1"/>
  <c r="G967" i="30"/>
  <c r="H967" i="30"/>
  <c r="I967" i="30"/>
  <c r="E968" i="30"/>
  <c r="F968" i="30"/>
  <c r="G968" i="30"/>
  <c r="H968" i="30"/>
  <c r="I968" i="30"/>
  <c r="F969" i="30"/>
  <c r="E969" i="30" s="1"/>
  <c r="G969" i="30"/>
  <c r="H969" i="30"/>
  <c r="I969" i="30"/>
  <c r="E970" i="30"/>
  <c r="F970" i="30"/>
  <c r="G970" i="30"/>
  <c r="H970" i="30"/>
  <c r="I970" i="30"/>
  <c r="F971" i="30"/>
  <c r="E971" i="30" s="1"/>
  <c r="G971" i="30"/>
  <c r="H971" i="30"/>
  <c r="I971" i="30"/>
  <c r="E2" i="29"/>
  <c r="AE2" i="29"/>
  <c r="AF2" i="29"/>
  <c r="AG2" i="29"/>
  <c r="AH2" i="29"/>
  <c r="AI2" i="29"/>
  <c r="AJ2" i="29"/>
  <c r="E3" i="29"/>
  <c r="AE3" i="29"/>
  <c r="AF3" i="29"/>
  <c r="AG3" i="29"/>
  <c r="AH3" i="29"/>
  <c r="AI3" i="29"/>
  <c r="AJ3" i="29"/>
  <c r="E4" i="29"/>
  <c r="AE4" i="29"/>
  <c r="AF4" i="29"/>
  <c r="AG4" i="29"/>
  <c r="AH4" i="29"/>
  <c r="AI4" i="29"/>
  <c r="AJ4" i="29"/>
  <c r="E5" i="29"/>
  <c r="AE5" i="29"/>
  <c r="AF5" i="29"/>
  <c r="AG5" i="29"/>
  <c r="AH5" i="29"/>
  <c r="AI5" i="29"/>
  <c r="AJ5" i="29"/>
  <c r="E6" i="29"/>
  <c r="AE6" i="29"/>
  <c r="AF6" i="29"/>
  <c r="AG6" i="29"/>
  <c r="AH6" i="29"/>
  <c r="AI6" i="29"/>
  <c r="AJ6" i="29"/>
  <c r="E7" i="29"/>
  <c r="AE7" i="29"/>
  <c r="AF7" i="29"/>
  <c r="AG7" i="29"/>
  <c r="AH7" i="29"/>
  <c r="AI7" i="29"/>
  <c r="AJ7" i="29"/>
  <c r="E8" i="29"/>
  <c r="AE8" i="29"/>
  <c r="AF8" i="29"/>
  <c r="AG8" i="29"/>
  <c r="AH8" i="29"/>
  <c r="AI8" i="29"/>
  <c r="AJ8" i="29"/>
  <c r="E9" i="29"/>
  <c r="AE9" i="29"/>
  <c r="AF9" i="29"/>
  <c r="AG9" i="29"/>
  <c r="AH9" i="29"/>
  <c r="AI9" i="29"/>
  <c r="AJ9" i="29"/>
  <c r="E10" i="29"/>
  <c r="AE10" i="29"/>
  <c r="AF10" i="29"/>
  <c r="AG10" i="29"/>
  <c r="AH10" i="29"/>
  <c r="AI10" i="29"/>
  <c r="AJ10" i="29"/>
  <c r="E11" i="29"/>
  <c r="AE11" i="29"/>
  <c r="AF11" i="29"/>
  <c r="AG11" i="29"/>
  <c r="AH11" i="29"/>
  <c r="AI11" i="29"/>
  <c r="AJ11" i="29"/>
  <c r="E12" i="29"/>
  <c r="AE12" i="29"/>
  <c r="AF12" i="29"/>
  <c r="AG12" i="29"/>
  <c r="AH12" i="29"/>
  <c r="AI12" i="29"/>
  <c r="AJ12" i="29"/>
  <c r="E13" i="29"/>
  <c r="AE13" i="29"/>
  <c r="AF13" i="29"/>
  <c r="AG13" i="29"/>
  <c r="AH13" i="29"/>
  <c r="AI13" i="29"/>
  <c r="AJ13" i="29"/>
  <c r="E14" i="29"/>
  <c r="AE14" i="29"/>
  <c r="AF14" i="29"/>
  <c r="AG14" i="29"/>
  <c r="AH14" i="29"/>
  <c r="AI14" i="29"/>
  <c r="AJ14" i="29"/>
  <c r="E15" i="29"/>
  <c r="AE15" i="29"/>
  <c r="AF15" i="29"/>
  <c r="AG15" i="29"/>
  <c r="AH15" i="29"/>
  <c r="AI15" i="29"/>
  <c r="AJ15" i="29"/>
  <c r="E16" i="29"/>
  <c r="AE16" i="29"/>
  <c r="AF16" i="29"/>
  <c r="AG16" i="29"/>
  <c r="AH16" i="29"/>
  <c r="AI16" i="29"/>
  <c r="AJ16" i="29"/>
  <c r="E17" i="29"/>
  <c r="AE17" i="29"/>
  <c r="AF17" i="29"/>
  <c r="AG17" i="29"/>
  <c r="AH17" i="29"/>
  <c r="AI17" i="29"/>
  <c r="AJ17" i="29"/>
  <c r="E18" i="29"/>
  <c r="AE18" i="29"/>
  <c r="AF18" i="29"/>
  <c r="AG18" i="29"/>
  <c r="AH18" i="29"/>
  <c r="AI18" i="29"/>
  <c r="AJ18" i="29"/>
  <c r="E19" i="29"/>
  <c r="AE19" i="29"/>
  <c r="AF19" i="29"/>
  <c r="AG19" i="29"/>
  <c r="AH19" i="29"/>
  <c r="AI19" i="29"/>
  <c r="AJ19" i="29"/>
  <c r="E20" i="29"/>
  <c r="AE20" i="29"/>
  <c r="AF20" i="29"/>
  <c r="AG20" i="29"/>
  <c r="AH20" i="29"/>
  <c r="AI20" i="29"/>
  <c r="AJ20" i="29"/>
  <c r="E21" i="29"/>
  <c r="AE21" i="29"/>
  <c r="AF21" i="29"/>
  <c r="AG21" i="29"/>
  <c r="AH21" i="29"/>
  <c r="AI21" i="29"/>
  <c r="AJ21" i="29"/>
  <c r="E22" i="29"/>
  <c r="AE22" i="29"/>
  <c r="AF22" i="29"/>
  <c r="AG22" i="29"/>
  <c r="AH22" i="29"/>
  <c r="AI22" i="29"/>
  <c r="AJ22" i="29"/>
  <c r="E23" i="29"/>
  <c r="AE23" i="29"/>
  <c r="AF23" i="29"/>
  <c r="AG23" i="29"/>
  <c r="AH23" i="29"/>
  <c r="AI23" i="29"/>
  <c r="AJ23" i="29"/>
  <c r="E24" i="29"/>
  <c r="AE24" i="29"/>
  <c r="AF24" i="29"/>
  <c r="AG24" i="29"/>
  <c r="AH24" i="29"/>
  <c r="AI24" i="29"/>
  <c r="AJ24" i="29"/>
  <c r="E25" i="29"/>
  <c r="AE25" i="29"/>
  <c r="AF25" i="29"/>
  <c r="AG25" i="29"/>
  <c r="AH25" i="29"/>
  <c r="AI25" i="29"/>
  <c r="AJ25" i="29"/>
  <c r="E26" i="29"/>
  <c r="AE26" i="29"/>
  <c r="AF26" i="29"/>
  <c r="AG26" i="29"/>
  <c r="AH26" i="29"/>
  <c r="AI26" i="29"/>
  <c r="AJ26" i="29"/>
  <c r="E27" i="29"/>
  <c r="AE27" i="29"/>
  <c r="AF27" i="29"/>
  <c r="AG27" i="29"/>
  <c r="AH27" i="29"/>
  <c r="AI27" i="29"/>
  <c r="AJ27" i="29"/>
  <c r="E28" i="29"/>
  <c r="AE28" i="29"/>
  <c r="AF28" i="29"/>
  <c r="AG28" i="29"/>
  <c r="AH28" i="29"/>
  <c r="AI28" i="29"/>
  <c r="AJ28" i="29"/>
  <c r="E29" i="29"/>
  <c r="AE29" i="29"/>
  <c r="AF29" i="29"/>
  <c r="AG29" i="29"/>
  <c r="AH29" i="29"/>
  <c r="AI29" i="29"/>
  <c r="AJ29" i="29"/>
  <c r="E30" i="29"/>
  <c r="AE30" i="29"/>
  <c r="AF30" i="29"/>
  <c r="AG30" i="29"/>
  <c r="AH30" i="29"/>
  <c r="AI30" i="29"/>
  <c r="AJ30" i="29"/>
  <c r="E31" i="29"/>
  <c r="AE31" i="29"/>
  <c r="AF31" i="29"/>
  <c r="AG31" i="29"/>
  <c r="AH31" i="29"/>
  <c r="AI31" i="29"/>
  <c r="AJ31" i="29"/>
  <c r="E32" i="29"/>
  <c r="AE32" i="29"/>
  <c r="AF32" i="29"/>
  <c r="AG32" i="29"/>
  <c r="AH32" i="29"/>
  <c r="AI32" i="29"/>
  <c r="AJ32" i="29"/>
  <c r="E33" i="29"/>
  <c r="AE33" i="29"/>
  <c r="AF33" i="29"/>
  <c r="AG33" i="29"/>
  <c r="AH33" i="29"/>
  <c r="AI33" i="29"/>
  <c r="AJ33" i="29"/>
  <c r="E34" i="29"/>
  <c r="AE34" i="29"/>
  <c r="AF34" i="29"/>
  <c r="AG34" i="29"/>
  <c r="AH34" i="29"/>
  <c r="AI34" i="29"/>
  <c r="AJ34" i="29"/>
  <c r="E35" i="29"/>
  <c r="AE35" i="29"/>
  <c r="AF35" i="29"/>
  <c r="AG35" i="29"/>
  <c r="AH35" i="29"/>
  <c r="AI35" i="29"/>
  <c r="AJ35" i="29"/>
  <c r="E36" i="29"/>
  <c r="AE36" i="29"/>
  <c r="AF36" i="29"/>
  <c r="AG36" i="29"/>
  <c r="AH36" i="29"/>
  <c r="AI36" i="29"/>
  <c r="AJ36" i="29"/>
  <c r="E37" i="29"/>
  <c r="AE37" i="29"/>
  <c r="AF37" i="29"/>
  <c r="AG37" i="29"/>
  <c r="AH37" i="29"/>
  <c r="AI37" i="29"/>
  <c r="AJ37" i="29"/>
  <c r="E38" i="29"/>
  <c r="AE38" i="29"/>
  <c r="AF38" i="29"/>
  <c r="AG38" i="29"/>
  <c r="AH38" i="29"/>
  <c r="AI38" i="29"/>
  <c r="AJ38" i="29"/>
  <c r="E39" i="29"/>
  <c r="AE39" i="29"/>
  <c r="AF39" i="29"/>
  <c r="AG39" i="29"/>
  <c r="AH39" i="29"/>
  <c r="AI39" i="29"/>
  <c r="AJ39" i="29"/>
  <c r="E40" i="29"/>
  <c r="AE40" i="29"/>
  <c r="AF40" i="29"/>
  <c r="AG40" i="29"/>
  <c r="AH40" i="29"/>
  <c r="AI40" i="29"/>
  <c r="AJ40" i="29"/>
  <c r="E41" i="29"/>
  <c r="AE41" i="29"/>
  <c r="AF41" i="29"/>
  <c r="AG41" i="29"/>
  <c r="AH41" i="29"/>
  <c r="AI41" i="29"/>
  <c r="AJ41" i="29"/>
  <c r="E42" i="29"/>
  <c r="AE42" i="29"/>
  <c r="AF42" i="29"/>
  <c r="AG42" i="29"/>
  <c r="AH42" i="29"/>
  <c r="AI42" i="29"/>
  <c r="AJ42" i="29"/>
  <c r="E43" i="29"/>
  <c r="AE43" i="29"/>
  <c r="AF43" i="29"/>
  <c r="AG43" i="29"/>
  <c r="AH43" i="29"/>
  <c r="AI43" i="29"/>
  <c r="AJ43" i="29"/>
  <c r="E44" i="29"/>
  <c r="AE44" i="29"/>
  <c r="AF44" i="29"/>
  <c r="AG44" i="29"/>
  <c r="AH44" i="29"/>
  <c r="AI44" i="29"/>
  <c r="AJ44" i="29"/>
  <c r="E45" i="29"/>
  <c r="AE45" i="29"/>
  <c r="AF45" i="29"/>
  <c r="AG45" i="29"/>
  <c r="AH45" i="29"/>
  <c r="AI45" i="29"/>
  <c r="AJ45" i="29"/>
  <c r="E46" i="29"/>
  <c r="AE46" i="29"/>
  <c r="AF46" i="29"/>
  <c r="AG46" i="29"/>
  <c r="AH46" i="29"/>
  <c r="AI46" i="29"/>
  <c r="AJ46" i="29"/>
  <c r="E47" i="29"/>
  <c r="AE47" i="29"/>
  <c r="AF47" i="29"/>
  <c r="AG47" i="29"/>
  <c r="AH47" i="29"/>
  <c r="AI47" i="29"/>
  <c r="AJ47" i="29"/>
  <c r="E48" i="29"/>
  <c r="AE48" i="29"/>
  <c r="AF48" i="29"/>
  <c r="AG48" i="29"/>
  <c r="AH48" i="29"/>
  <c r="AI48" i="29"/>
  <c r="AJ48" i="29"/>
  <c r="E49" i="29"/>
  <c r="AE49" i="29"/>
  <c r="AF49" i="29"/>
  <c r="AG49" i="29"/>
  <c r="AH49" i="29"/>
  <c r="AI49" i="29"/>
  <c r="AJ49" i="29"/>
  <c r="E50" i="29"/>
  <c r="AE50" i="29"/>
  <c r="AF50" i="29"/>
  <c r="AG50" i="29"/>
  <c r="AH50" i="29"/>
  <c r="AI50" i="29"/>
  <c r="AJ50" i="29"/>
  <c r="E51" i="29"/>
  <c r="AE51" i="29"/>
  <c r="AF51" i="29"/>
  <c r="AG51" i="29"/>
  <c r="AH51" i="29"/>
  <c r="AI51" i="29"/>
  <c r="AJ51" i="29"/>
  <c r="E52" i="29"/>
  <c r="AE52" i="29"/>
  <c r="AF52" i="29"/>
  <c r="AG52" i="29"/>
  <c r="AH52" i="29"/>
  <c r="AI52" i="29"/>
  <c r="AJ52" i="29"/>
  <c r="E53" i="29"/>
  <c r="AE53" i="29"/>
  <c r="AF53" i="29"/>
  <c r="AG53" i="29"/>
  <c r="AH53" i="29"/>
  <c r="AI53" i="29"/>
  <c r="AJ53" i="29"/>
  <c r="E54" i="29"/>
  <c r="AE54" i="29"/>
  <c r="AF54" i="29"/>
  <c r="AG54" i="29"/>
  <c r="AH54" i="29"/>
  <c r="AI54" i="29"/>
  <c r="AJ54" i="29"/>
  <c r="E55" i="29"/>
  <c r="AE55" i="29"/>
  <c r="AF55" i="29"/>
  <c r="AG55" i="29"/>
  <c r="AH55" i="29"/>
  <c r="AI55" i="29"/>
  <c r="AJ55" i="29"/>
  <c r="AO1" i="99"/>
  <c r="W9" i="99"/>
  <c r="W10" i="99"/>
  <c r="AC10" i="99"/>
  <c r="W11" i="99"/>
  <c r="W12" i="99"/>
  <c r="AV12" i="99"/>
  <c r="BA12" i="99"/>
  <c r="BY12" i="99"/>
  <c r="AV13" i="99"/>
  <c r="BA13" i="99"/>
  <c r="AC14" i="99"/>
  <c r="AJ14" i="99"/>
  <c r="AV14" i="99"/>
  <c r="BY14" i="99"/>
  <c r="W15" i="99"/>
  <c r="AV15" i="99"/>
  <c r="W16" i="99"/>
  <c r="S18" i="99"/>
  <c r="W18" i="99"/>
  <c r="S19" i="99"/>
  <c r="AG19" i="99"/>
  <c r="S20" i="99"/>
  <c r="S21" i="99"/>
  <c r="W21" i="99"/>
  <c r="S22" i="99"/>
  <c r="W22" i="99"/>
  <c r="S23" i="99"/>
  <c r="AB23" i="99"/>
  <c r="AL23" i="99"/>
  <c r="S24" i="99"/>
  <c r="S25" i="99"/>
  <c r="W25" i="99"/>
  <c r="S26" i="99"/>
  <c r="W26" i="99"/>
  <c r="S27" i="99"/>
  <c r="W27" i="99"/>
  <c r="W28" i="99"/>
  <c r="AC28" i="99"/>
  <c r="W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S54" i="99"/>
  <c r="W54" i="99"/>
  <c r="S55" i="99"/>
  <c r="W55" i="99"/>
  <c r="AG55" i="99"/>
  <c r="S56" i="99"/>
  <c r="S57" i="99"/>
  <c r="W57" i="99"/>
  <c r="S58" i="99"/>
  <c r="W58" i="99"/>
  <c r="AC58" i="99"/>
  <c r="S59" i="99"/>
  <c r="AL59" i="99"/>
  <c r="S60" i="99"/>
  <c r="S61" i="99"/>
  <c r="W61" i="99"/>
  <c r="S62" i="99"/>
  <c r="W62" i="99"/>
  <c r="S63" i="99"/>
  <c r="W63" i="99"/>
  <c r="W64" i="99"/>
  <c r="AC64" i="99"/>
  <c r="W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S90" i="99"/>
  <c r="W90" i="99"/>
  <c r="S91" i="99"/>
  <c r="W91" i="99"/>
  <c r="AG91" i="99"/>
  <c r="S92" i="99"/>
  <c r="S93" i="99"/>
  <c r="W93" i="99"/>
  <c r="S94" i="99"/>
  <c r="W94" i="99"/>
  <c r="AC94" i="99"/>
  <c r="S95" i="99"/>
  <c r="AL95" i="99"/>
  <c r="S96" i="99"/>
  <c r="S97" i="99"/>
  <c r="W97" i="99"/>
  <c r="S98" i="99"/>
  <c r="W98" i="99"/>
  <c r="S99" i="99"/>
  <c r="W99" i="99"/>
  <c r="W100" i="99"/>
  <c r="AC100" i="99"/>
  <c r="W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S126" i="99"/>
  <c r="W126" i="99"/>
  <c r="S127" i="99"/>
  <c r="W127" i="99"/>
  <c r="AG127" i="99"/>
  <c r="S128" i="99"/>
  <c r="S129" i="99"/>
  <c r="W129" i="99"/>
  <c r="S130" i="99"/>
  <c r="W130" i="99"/>
  <c r="AC130" i="99"/>
  <c r="S131" i="99"/>
  <c r="AB131" i="99"/>
  <c r="AL131" i="99"/>
  <c r="S132" i="99"/>
  <c r="S133" i="99"/>
  <c r="W133" i="99"/>
  <c r="S134" i="99"/>
  <c r="W134" i="99"/>
  <c r="S135" i="99"/>
  <c r="W135" i="99"/>
  <c r="W136" i="99"/>
  <c r="AC136" i="99"/>
  <c r="W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S162" i="99"/>
  <c r="W162" i="99"/>
  <c r="S163" i="99"/>
  <c r="W163" i="99"/>
  <c r="AG163" i="99"/>
  <c r="S164" i="99"/>
  <c r="S165" i="99"/>
  <c r="W165" i="99"/>
  <c r="S166" i="99"/>
  <c r="W166" i="99"/>
  <c r="AC166" i="99"/>
  <c r="S167" i="99"/>
  <c r="AB167" i="99"/>
  <c r="AL167" i="99"/>
  <c r="S168" i="99"/>
  <c r="S169" i="99"/>
  <c r="W169" i="99"/>
  <c r="S170" i="99"/>
  <c r="W170" i="99"/>
  <c r="S171" i="99"/>
  <c r="W171" i="99"/>
  <c r="W172" i="99"/>
  <c r="AC172" i="99"/>
  <c r="W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S198" i="99"/>
  <c r="W198" i="99"/>
  <c r="S199" i="99"/>
  <c r="W199" i="99"/>
  <c r="AG199" i="99"/>
  <c r="S200" i="99"/>
  <c r="S201" i="99"/>
  <c r="W201" i="99"/>
  <c r="S202" i="99"/>
  <c r="W202" i="99"/>
  <c r="AC202" i="99"/>
  <c r="S203" i="99"/>
  <c r="AB203" i="99"/>
  <c r="AL203" i="99"/>
  <c r="S204" i="99"/>
  <c r="S205" i="99"/>
  <c r="W205" i="99"/>
  <c r="S206" i="99"/>
  <c r="W206" i="99"/>
  <c r="S207" i="99"/>
  <c r="W207" i="99"/>
  <c r="W208" i="99"/>
  <c r="AC208" i="99"/>
  <c r="W209" i="99"/>
  <c r="AC210" i="99"/>
  <c r="D217" i="99"/>
  <c r="G220" i="99"/>
  <c r="H220" i="99"/>
  <c r="I220" i="99"/>
  <c r="J220" i="99"/>
  <c r="K220" i="99"/>
  <c r="L220" i="99"/>
  <c r="AM1" i="71"/>
  <c r="BU2" i="79"/>
  <c r="BU3" i="79" s="1"/>
  <c r="CG4" i="79"/>
  <c r="CH4" i="79"/>
  <c r="CI4" i="79"/>
  <c r="CJ4" i="79"/>
  <c r="CK4" i="79"/>
  <c r="CL4" i="79"/>
  <c r="CM4" i="79"/>
  <c r="CN4" i="79"/>
  <c r="CO4" i="79"/>
  <c r="CP4" i="79"/>
  <c r="CQ4" i="79"/>
  <c r="CR4" i="79"/>
  <c r="CS4" i="79"/>
  <c r="CT4" i="79"/>
  <c r="CU4" i="79"/>
  <c r="CV4" i="79"/>
  <c r="CW4" i="79"/>
  <c r="CX4" i="79"/>
  <c r="CY4" i="79"/>
  <c r="CZ4" i="79"/>
  <c r="DA4" i="79"/>
  <c r="DB4" i="79"/>
  <c r="DC4" i="79"/>
  <c r="DD4" i="79"/>
  <c r="DE4" i="79"/>
  <c r="DF4" i="79"/>
  <c r="DG4" i="79"/>
  <c r="DH4" i="79"/>
  <c r="DI4" i="79"/>
  <c r="DJ4" i="79"/>
  <c r="DK4" i="79"/>
  <c r="DL4" i="79"/>
  <c r="A17" i="79"/>
  <c r="R23" i="73"/>
  <c r="AK25" i="73"/>
  <c r="AK27" i="73"/>
  <c r="AD42" i="73"/>
  <c r="AE42" i="73"/>
  <c r="AF42" i="73"/>
  <c r="AC43" i="73"/>
  <c r="AD43" i="73"/>
  <c r="AE43" i="73"/>
  <c r="AF43" i="73"/>
  <c r="AD44" i="73"/>
  <c r="AE44" i="73"/>
  <c r="AF44" i="73"/>
  <c r="P8" i="81"/>
  <c r="B13" i="81"/>
  <c r="I20" i="81"/>
  <c r="N20" i="81"/>
  <c r="V34" i="81"/>
  <c r="I35" i="81"/>
  <c r="L35" i="81"/>
  <c r="B45" i="81"/>
  <c r="BU3" i="50"/>
  <c r="J14" i="50"/>
  <c r="T47" i="32" s="1"/>
  <c r="J15" i="50"/>
  <c r="CC32" i="50"/>
  <c r="CD32" i="50"/>
  <c r="CC33" i="50"/>
  <c r="CD33" i="50"/>
  <c r="CC34" i="50"/>
  <c r="CD34" i="50"/>
  <c r="CC35" i="50"/>
  <c r="CD35" i="50"/>
  <c r="BD3" i="32"/>
  <c r="BI3" i="32"/>
  <c r="AU15" i="32"/>
  <c r="AU16" i="32" s="1"/>
  <c r="AV15" i="32"/>
  <c r="AV16" i="32" s="1"/>
  <c r="AW24" i="32"/>
  <c r="AJ36" i="32" a="1"/>
  <c r="AJ36" i="32" s="1"/>
  <c r="AT43" i="32"/>
  <c r="R28" i="79"/>
  <c r="V27" i="79"/>
  <c r="R32" i="79"/>
  <c r="U24" i="79"/>
  <c r="Q42" i="79"/>
  <c r="U23" i="79"/>
  <c r="V23" i="79"/>
  <c r="Q41" i="79"/>
  <c r="BY193" i="99"/>
  <c r="R29" i="79"/>
  <c r="V24" i="79"/>
  <c r="BY157" i="99"/>
  <c r="BY13" i="99"/>
  <c r="BY49" i="99"/>
  <c r="U27" i="79"/>
  <c r="Q45" i="79"/>
  <c r="R34" i="79"/>
  <c r="V29" i="79"/>
  <c r="U29" i="79"/>
  <c r="Q47" i="79"/>
  <c r="R35" i="96" l="1"/>
  <c r="B694" i="53"/>
  <c r="B26" i="100" s="1"/>
  <c r="AM5" i="71"/>
  <c r="AP34" i="73"/>
  <c r="R32" i="96"/>
  <c r="AP32" i="73"/>
  <c r="AP26" i="73"/>
  <c r="AP24" i="73"/>
  <c r="AP30" i="73"/>
  <c r="AP28" i="73"/>
  <c r="AM39" i="73"/>
  <c r="AM37" i="73"/>
  <c r="O48" i="73"/>
  <c r="K48" i="73"/>
  <c r="AM34" i="73"/>
  <c r="AM32" i="73"/>
  <c r="AM30" i="73"/>
  <c r="AM28" i="73"/>
  <c r="AM26" i="73"/>
  <c r="AM24" i="73"/>
  <c r="G48" i="73"/>
  <c r="P30" i="95"/>
  <c r="P30" i="91"/>
  <c r="P30" i="94"/>
  <c r="P30" i="32"/>
  <c r="P30" i="92"/>
  <c r="P30" i="93"/>
  <c r="B167" i="53"/>
  <c r="B166" i="53"/>
  <c r="B162" i="53"/>
  <c r="B110" i="51" s="1"/>
  <c r="B155" i="53"/>
  <c r="B108" i="51" s="1"/>
  <c r="B165" i="53"/>
  <c r="B164" i="53"/>
  <c r="B163" i="53"/>
  <c r="B111" i="51" s="1"/>
  <c r="AF4" i="99"/>
  <c r="B161" i="53"/>
  <c r="B160" i="53"/>
  <c r="B109" i="51" s="1"/>
  <c r="B154" i="53"/>
  <c r="B107" i="51" s="1"/>
  <c r="B693" i="53"/>
  <c r="AC37" i="73" s="1"/>
  <c r="B681" i="53"/>
  <c r="B659" i="53"/>
  <c r="B645" i="53"/>
  <c r="B633" i="53"/>
  <c r="B621" i="53"/>
  <c r="B608" i="53"/>
  <c r="B594" i="53"/>
  <c r="B581" i="53"/>
  <c r="J21" i="97" s="1"/>
  <c r="B171" i="53"/>
  <c r="B183" i="53"/>
  <c r="B195" i="53"/>
  <c r="B207" i="53"/>
  <c r="B219" i="53"/>
  <c r="B231" i="53"/>
  <c r="B243" i="53"/>
  <c r="B255" i="53"/>
  <c r="B267" i="53"/>
  <c r="B279" i="53"/>
  <c r="B28" i="97" s="1"/>
  <c r="B291" i="53"/>
  <c r="B303" i="53"/>
  <c r="B315" i="53"/>
  <c r="B327" i="53"/>
  <c r="B23" i="100" s="1"/>
  <c r="B339" i="53"/>
  <c r="B351" i="53"/>
  <c r="B363" i="53"/>
  <c r="B375" i="53"/>
  <c r="B387" i="53"/>
  <c r="B399" i="53"/>
  <c r="B411" i="53"/>
  <c r="B423" i="53"/>
  <c r="B435" i="53"/>
  <c r="B447" i="53"/>
  <c r="B459" i="53"/>
  <c r="B471" i="53"/>
  <c r="B483" i="53"/>
  <c r="B495" i="53"/>
  <c r="B507" i="53"/>
  <c r="B519" i="53"/>
  <c r="B531" i="53"/>
  <c r="B543" i="53"/>
  <c r="B555" i="53"/>
  <c r="C20" i="52" s="1"/>
  <c r="B567" i="53"/>
  <c r="B137" i="53"/>
  <c r="B104" i="51" s="1"/>
  <c r="B104" i="53"/>
  <c r="B116" i="53"/>
  <c r="B59" i="53"/>
  <c r="A19" i="55" s="1"/>
  <c r="B16" i="53"/>
  <c r="A14" i="55" s="1"/>
  <c r="B40" i="53"/>
  <c r="U96" i="73" s="1"/>
  <c r="B6" i="53"/>
  <c r="B102" i="53"/>
  <c r="O35" i="81" s="1"/>
  <c r="B584" i="53"/>
  <c r="B456" i="53"/>
  <c r="B96" i="53"/>
  <c r="V13" i="96" s="1"/>
  <c r="B49" i="53"/>
  <c r="B350" i="53"/>
  <c r="B446" i="53"/>
  <c r="B530" i="53"/>
  <c r="B99" i="53"/>
  <c r="B39" i="53"/>
  <c r="B692" i="53"/>
  <c r="B680" i="53"/>
  <c r="B658" i="53"/>
  <c r="C29" i="96" s="1"/>
  <c r="B644" i="53"/>
  <c r="B632" i="53"/>
  <c r="S1" i="52" s="1"/>
  <c r="B620" i="53"/>
  <c r="B607" i="53"/>
  <c r="B593" i="53"/>
  <c r="B580" i="53"/>
  <c r="B172" i="53"/>
  <c r="B184" i="53"/>
  <c r="B196" i="53"/>
  <c r="B208" i="53"/>
  <c r="B220" i="53"/>
  <c r="B232" i="53"/>
  <c r="B244" i="53"/>
  <c r="B256" i="53"/>
  <c r="B268" i="53"/>
  <c r="B280" i="53"/>
  <c r="B292" i="53"/>
  <c r="B304" i="53"/>
  <c r="B316" i="53"/>
  <c r="V8" i="21" s="1"/>
  <c r="B328" i="53"/>
  <c r="B340" i="53"/>
  <c r="B352" i="53"/>
  <c r="B364" i="53"/>
  <c r="B376" i="53"/>
  <c r="B388" i="53"/>
  <c r="B400" i="53"/>
  <c r="B412" i="53"/>
  <c r="B424" i="53"/>
  <c r="B436" i="53"/>
  <c r="B448" i="53"/>
  <c r="B460" i="53"/>
  <c r="B472" i="53"/>
  <c r="B484" i="53"/>
  <c r="B496" i="53"/>
  <c r="B508" i="53"/>
  <c r="B520" i="53"/>
  <c r="B532" i="53"/>
  <c r="B544" i="53"/>
  <c r="B556" i="53"/>
  <c r="B169" i="53"/>
  <c r="B136" i="53"/>
  <c r="B103" i="51" s="1"/>
  <c r="B105" i="53"/>
  <c r="B117" i="53"/>
  <c r="B74" i="53"/>
  <c r="U112" i="73" s="1"/>
  <c r="B60" i="53"/>
  <c r="B17" i="53"/>
  <c r="A17" i="55" s="1"/>
  <c r="B29" i="53"/>
  <c r="A29" i="55" s="1"/>
  <c r="B41" i="53"/>
  <c r="U97" i="73" s="1"/>
  <c r="B636" i="53"/>
  <c r="B288" i="53"/>
  <c r="B396" i="53"/>
  <c r="B516" i="53"/>
  <c r="B126" i="53"/>
  <c r="B374" i="53"/>
  <c r="B138" i="53"/>
  <c r="B105" i="51" s="1"/>
  <c r="B51" i="53"/>
  <c r="B691" i="53"/>
  <c r="B670" i="53"/>
  <c r="B657" i="53"/>
  <c r="B643" i="53"/>
  <c r="B631" i="53"/>
  <c r="Q1" i="52" s="1"/>
  <c r="B619" i="53"/>
  <c r="B606" i="53"/>
  <c r="B592" i="53"/>
  <c r="B579" i="53"/>
  <c r="B173" i="53"/>
  <c r="B185" i="53"/>
  <c r="B197" i="53"/>
  <c r="B209" i="53"/>
  <c r="B221" i="53"/>
  <c r="B233" i="53"/>
  <c r="B245" i="53"/>
  <c r="K4" i="97" s="1"/>
  <c r="B257" i="53"/>
  <c r="BC37" i="44" s="1"/>
  <c r="B269" i="53"/>
  <c r="B281" i="53"/>
  <c r="B293" i="53"/>
  <c r="B305" i="53"/>
  <c r="B317" i="53"/>
  <c r="S24" i="73" s="1"/>
  <c r="B329" i="53"/>
  <c r="BC38" i="44" s="1"/>
  <c r="B341" i="53"/>
  <c r="B353" i="53"/>
  <c r="B365" i="53"/>
  <c r="B377" i="53"/>
  <c r="B389" i="53"/>
  <c r="B401" i="53"/>
  <c r="B413" i="53"/>
  <c r="B425" i="53"/>
  <c r="B437" i="53"/>
  <c r="B449" i="53"/>
  <c r="B461" i="53"/>
  <c r="B473" i="53"/>
  <c r="B485" i="53"/>
  <c r="B497" i="53"/>
  <c r="B509" i="53"/>
  <c r="B521" i="53"/>
  <c r="B533" i="53"/>
  <c r="B545" i="53"/>
  <c r="B557" i="53"/>
  <c r="B135" i="53"/>
  <c r="B102" i="51" s="1"/>
  <c r="B106" i="53"/>
  <c r="B118" i="53"/>
  <c r="B73" i="53"/>
  <c r="U111" i="73" s="1"/>
  <c r="B53" i="53"/>
  <c r="A31" i="55" s="1"/>
  <c r="B18" i="53"/>
  <c r="A18" i="55" s="1"/>
  <c r="B30" i="53"/>
  <c r="A32" i="55" s="1"/>
  <c r="B42" i="53"/>
  <c r="U89" i="73" s="1"/>
  <c r="B611" i="53"/>
  <c r="B336" i="53"/>
  <c r="B444" i="53"/>
  <c r="B552" i="53"/>
  <c r="B80" i="53"/>
  <c r="U107" i="73" s="1"/>
  <c r="B338" i="53"/>
  <c r="B458" i="53"/>
  <c r="B518" i="53"/>
  <c r="B115" i="53"/>
  <c r="B690" i="53"/>
  <c r="B27" i="100" s="1"/>
  <c r="B669" i="53"/>
  <c r="B656" i="53"/>
  <c r="B642" i="53"/>
  <c r="B630" i="53"/>
  <c r="O1" i="52" s="1"/>
  <c r="B618" i="53"/>
  <c r="B604" i="53"/>
  <c r="B591" i="53"/>
  <c r="B578" i="53"/>
  <c r="B174" i="53"/>
  <c r="B186" i="53"/>
  <c r="B198" i="53"/>
  <c r="B210" i="53"/>
  <c r="B222" i="53"/>
  <c r="B234" i="53"/>
  <c r="B246" i="53"/>
  <c r="B258" i="53"/>
  <c r="B270" i="53"/>
  <c r="B282" i="53"/>
  <c r="B294" i="53"/>
  <c r="V53" i="21" s="1"/>
  <c r="B306" i="53"/>
  <c r="E10" i="80" s="1"/>
  <c r="B318" i="53"/>
  <c r="S26" i="73" s="1"/>
  <c r="B330" i="53"/>
  <c r="AM52" i="73" s="1"/>
  <c r="B342" i="53"/>
  <c r="B354" i="53"/>
  <c r="B366" i="53"/>
  <c r="B378" i="53"/>
  <c r="B390" i="53"/>
  <c r="B402" i="53"/>
  <c r="B414" i="53"/>
  <c r="B426" i="53"/>
  <c r="B438" i="53"/>
  <c r="B450" i="53"/>
  <c r="B462" i="53"/>
  <c r="B474" i="53"/>
  <c r="B486" i="53"/>
  <c r="B498" i="53"/>
  <c r="B510" i="53"/>
  <c r="B522" i="53"/>
  <c r="B534" i="53"/>
  <c r="B546" i="53"/>
  <c r="B558" i="53"/>
  <c r="B133" i="53"/>
  <c r="B107" i="53"/>
  <c r="B119" i="53"/>
  <c r="B72" i="53"/>
  <c r="U110" i="73" s="1"/>
  <c r="B7" i="53"/>
  <c r="A10" i="55" s="1"/>
  <c r="B19" i="53"/>
  <c r="A21" i="55" s="1"/>
  <c r="B31" i="53"/>
  <c r="U105" i="73" s="1"/>
  <c r="B43" i="53"/>
  <c r="U100" i="73" s="1"/>
  <c r="B395" i="53"/>
  <c r="B684" i="53"/>
  <c r="B11" i="100" s="1"/>
  <c r="B572" i="53"/>
  <c r="B180" i="53"/>
  <c r="AC39" i="73" s="1"/>
  <c r="B192" i="53"/>
  <c r="B216" i="53"/>
  <c r="B228" i="53"/>
  <c r="B252" i="53"/>
  <c r="B300" i="53"/>
  <c r="B24" i="100" s="1"/>
  <c r="B348" i="53"/>
  <c r="B384" i="53"/>
  <c r="B432" i="53"/>
  <c r="B528" i="53"/>
  <c r="B564" i="53"/>
  <c r="X4" i="55" s="1"/>
  <c r="X55" i="91" s="1"/>
  <c r="B113" i="53"/>
  <c r="B689" i="53"/>
  <c r="B25" i="100" s="1"/>
  <c r="B668" i="53"/>
  <c r="B654" i="53"/>
  <c r="B641" i="53"/>
  <c r="B629" i="53"/>
  <c r="M1" i="52" s="1"/>
  <c r="B617" i="53"/>
  <c r="B603" i="53"/>
  <c r="B590" i="53"/>
  <c r="B577" i="53"/>
  <c r="B175" i="53"/>
  <c r="B187" i="53"/>
  <c r="B199" i="53"/>
  <c r="B211" i="53"/>
  <c r="B223" i="53"/>
  <c r="B235" i="53"/>
  <c r="B247" i="53"/>
  <c r="B259" i="53"/>
  <c r="B271" i="53"/>
  <c r="B283" i="53"/>
  <c r="B295" i="53"/>
  <c r="B307" i="53"/>
  <c r="B319" i="53"/>
  <c r="AM51" i="73" s="1"/>
  <c r="B331" i="53"/>
  <c r="B19" i="100" s="1"/>
  <c r="B343" i="53"/>
  <c r="B355" i="53"/>
  <c r="B367" i="53"/>
  <c r="B379" i="53"/>
  <c r="B391" i="53"/>
  <c r="B403" i="53"/>
  <c r="B415" i="53"/>
  <c r="B427" i="53"/>
  <c r="B439" i="53"/>
  <c r="B451" i="53"/>
  <c r="B463" i="53"/>
  <c r="B475" i="53"/>
  <c r="B487" i="53"/>
  <c r="B499" i="53"/>
  <c r="B511" i="53"/>
  <c r="B523" i="53"/>
  <c r="B535" i="53"/>
  <c r="B547" i="53"/>
  <c r="B559" i="53"/>
  <c r="B131" i="53"/>
  <c r="B108" i="53"/>
  <c r="B120" i="53"/>
  <c r="B71" i="53"/>
  <c r="U109" i="73" s="1"/>
  <c r="B8" i="53"/>
  <c r="A4" i="55" s="1"/>
  <c r="B20" i="53"/>
  <c r="A22" i="55" s="1"/>
  <c r="B44" i="53"/>
  <c r="U101" i="73" s="1"/>
  <c r="B251" i="53"/>
  <c r="B503" i="53"/>
  <c r="B563" i="53"/>
  <c r="X3" i="55" s="1"/>
  <c r="X54" i="91" s="1"/>
  <c r="B112" i="53"/>
  <c r="B55" i="53"/>
  <c r="A16" i="55" s="1"/>
  <c r="B36" i="53"/>
  <c r="U93" i="73" s="1"/>
  <c r="B276" i="53"/>
  <c r="B492" i="53"/>
  <c r="B37" i="53"/>
  <c r="U92" i="73" s="1"/>
  <c r="B290" i="53"/>
  <c r="B688" i="53"/>
  <c r="B666" i="53"/>
  <c r="B653" i="53"/>
  <c r="B640" i="53"/>
  <c r="B628" i="53"/>
  <c r="K1" i="52" s="1"/>
  <c r="B616" i="53"/>
  <c r="B602" i="53"/>
  <c r="B589" i="53"/>
  <c r="B576" i="53"/>
  <c r="B176" i="53"/>
  <c r="B188" i="53"/>
  <c r="B200" i="53"/>
  <c r="B212" i="53"/>
  <c r="B224" i="53"/>
  <c r="B236" i="53"/>
  <c r="B248" i="53"/>
  <c r="B260" i="53"/>
  <c r="B272" i="53"/>
  <c r="B284" i="53"/>
  <c r="B296" i="53"/>
  <c r="B308" i="53"/>
  <c r="B14" i="97" s="1"/>
  <c r="B320" i="53"/>
  <c r="AM50" i="73" s="1"/>
  <c r="B332" i="53"/>
  <c r="B344" i="53"/>
  <c r="B356" i="53"/>
  <c r="B368" i="53"/>
  <c r="B380" i="53"/>
  <c r="B392" i="53"/>
  <c r="B404" i="53"/>
  <c r="B416" i="53"/>
  <c r="B428" i="53"/>
  <c r="B440" i="53"/>
  <c r="B452" i="53"/>
  <c r="B464" i="53"/>
  <c r="B476" i="53"/>
  <c r="B488" i="53"/>
  <c r="B500" i="53"/>
  <c r="B512" i="53"/>
  <c r="B524" i="53"/>
  <c r="B536" i="53"/>
  <c r="B548" i="53"/>
  <c r="B560" i="53"/>
  <c r="B130" i="53"/>
  <c r="B109" i="53"/>
  <c r="B121" i="53"/>
  <c r="B17" i="81"/>
  <c r="B70" i="53"/>
  <c r="A12" i="55" s="1"/>
  <c r="B9" i="53"/>
  <c r="A5" i="55" s="1"/>
  <c r="B21" i="53"/>
  <c r="A23" i="55" s="1"/>
  <c r="B45" i="53"/>
  <c r="A24" i="55" s="1"/>
  <c r="B455" i="53"/>
  <c r="B24" i="53"/>
  <c r="U98" i="73" s="1"/>
  <c r="B624" i="53"/>
  <c r="B312" i="53"/>
  <c r="B468" i="53"/>
  <c r="B302" i="53"/>
  <c r="B386" i="53"/>
  <c r="B422" i="53"/>
  <c r="B482" i="53"/>
  <c r="B554" i="53"/>
  <c r="C45" i="52" s="1"/>
  <c r="B58" i="53"/>
  <c r="U87" i="73" s="1"/>
  <c r="B687" i="53"/>
  <c r="B22" i="100" s="1"/>
  <c r="B665" i="53"/>
  <c r="B651" i="53"/>
  <c r="B639" i="53"/>
  <c r="B627" i="53"/>
  <c r="D96" i="51" s="1"/>
  <c r="B615" i="53"/>
  <c r="B601" i="53"/>
  <c r="B587" i="53"/>
  <c r="B575" i="53"/>
  <c r="B177" i="53"/>
  <c r="B189" i="53"/>
  <c r="B201" i="53"/>
  <c r="B213" i="53"/>
  <c r="B225" i="53"/>
  <c r="B237" i="53"/>
  <c r="B249" i="53"/>
  <c r="B5" i="71" s="1"/>
  <c r="B261" i="53"/>
  <c r="B273" i="53"/>
  <c r="B285" i="53"/>
  <c r="B297" i="53"/>
  <c r="B309" i="53"/>
  <c r="Q14" i="97" s="1"/>
  <c r="B321" i="53"/>
  <c r="S28" i="73" s="1"/>
  <c r="B333" i="53"/>
  <c r="B345" i="53"/>
  <c r="B357" i="53"/>
  <c r="B369" i="53"/>
  <c r="B381" i="53"/>
  <c r="B393" i="53"/>
  <c r="B405" i="53"/>
  <c r="B417" i="53"/>
  <c r="B429" i="53"/>
  <c r="B441" i="53"/>
  <c r="B453" i="53"/>
  <c r="B465" i="53"/>
  <c r="B477" i="53"/>
  <c r="B489" i="53"/>
  <c r="B501" i="53"/>
  <c r="B513" i="53"/>
  <c r="B525" i="53"/>
  <c r="B537" i="53"/>
  <c r="B549" i="53"/>
  <c r="B561" i="53"/>
  <c r="I13" i="81" s="1"/>
  <c r="B145" i="53"/>
  <c r="B129" i="53"/>
  <c r="B110" i="53"/>
  <c r="B122" i="53"/>
  <c r="B69" i="53"/>
  <c r="B10" i="53"/>
  <c r="B22" i="53"/>
  <c r="A25" i="55" s="1"/>
  <c r="B34" i="53"/>
  <c r="A36" i="50" s="1"/>
  <c r="B46" i="53"/>
  <c r="U102" i="73" s="1"/>
  <c r="B47" i="53"/>
  <c r="U103" i="73" s="1"/>
  <c r="B347" i="53"/>
  <c r="B127" i="53"/>
  <c r="B100" i="51" s="1"/>
  <c r="B12" i="53"/>
  <c r="A7" i="55" s="1"/>
  <c r="B662" i="53"/>
  <c r="B204" i="53"/>
  <c r="B264" i="53"/>
  <c r="B360" i="53"/>
  <c r="B408" i="53"/>
  <c r="B504" i="53"/>
  <c r="B56" i="53"/>
  <c r="U99" i="73" s="1"/>
  <c r="B326" i="53"/>
  <c r="AC22" i="73" s="1"/>
  <c r="B410" i="53"/>
  <c r="B434" i="53"/>
  <c r="B494" i="53"/>
  <c r="B52" i="53"/>
  <c r="U84" i="73" s="1"/>
  <c r="B686" i="53"/>
  <c r="B664" i="53"/>
  <c r="B650" i="53"/>
  <c r="B638" i="53"/>
  <c r="B626" i="53"/>
  <c r="B614" i="53"/>
  <c r="B600" i="53"/>
  <c r="B586" i="53"/>
  <c r="B574" i="53"/>
  <c r="B178" i="53"/>
  <c r="B190" i="53"/>
  <c r="B202" i="53"/>
  <c r="B214" i="53"/>
  <c r="B226" i="53"/>
  <c r="B238" i="53"/>
  <c r="B250" i="53"/>
  <c r="B7" i="71" s="1"/>
  <c r="B262" i="53"/>
  <c r="B274" i="53"/>
  <c r="B286" i="53"/>
  <c r="B298" i="53"/>
  <c r="B310" i="53"/>
  <c r="K2" i="21" s="1"/>
  <c r="B322" i="53"/>
  <c r="S30" i="73" s="1"/>
  <c r="B334" i="53"/>
  <c r="B346" i="53"/>
  <c r="B358" i="53"/>
  <c r="B370" i="53"/>
  <c r="B382" i="53"/>
  <c r="B394" i="53"/>
  <c r="B406" i="53"/>
  <c r="B418" i="53"/>
  <c r="B430" i="53"/>
  <c r="B442" i="53"/>
  <c r="B454" i="53"/>
  <c r="B466" i="53"/>
  <c r="B478" i="53"/>
  <c r="B490" i="53"/>
  <c r="B502" i="53"/>
  <c r="B514" i="53"/>
  <c r="B526" i="53"/>
  <c r="B538" i="53"/>
  <c r="B550" i="53"/>
  <c r="B562" i="53"/>
  <c r="B144" i="53"/>
  <c r="B128" i="53"/>
  <c r="B111" i="53"/>
  <c r="A121" i="51" s="1"/>
  <c r="B123" i="53"/>
  <c r="B54" i="53"/>
  <c r="B11" i="53"/>
  <c r="A6" i="55" s="1"/>
  <c r="B23" i="53"/>
  <c r="A26" i="55" s="1"/>
  <c r="B35" i="53"/>
  <c r="U91" i="73" s="1"/>
  <c r="B597" i="53"/>
  <c r="B324" i="53"/>
  <c r="S34" i="73" s="1"/>
  <c r="B420" i="53"/>
  <c r="B540" i="53"/>
  <c r="B140" i="53"/>
  <c r="B13" i="53"/>
  <c r="B542" i="53"/>
  <c r="B685" i="53"/>
  <c r="B13" i="100" s="1"/>
  <c r="B663" i="53"/>
  <c r="B649" i="53"/>
  <c r="B637" i="53"/>
  <c r="B625" i="53"/>
  <c r="B612" i="53"/>
  <c r="B599" i="53"/>
  <c r="B585" i="53"/>
  <c r="F31" i="52" s="1"/>
  <c r="B573" i="53"/>
  <c r="B179" i="53"/>
  <c r="B191" i="53"/>
  <c r="B203" i="53"/>
  <c r="B215" i="53"/>
  <c r="B227" i="53"/>
  <c r="B239" i="53"/>
  <c r="B263" i="53"/>
  <c r="B275" i="53"/>
  <c r="S7" i="73" s="1"/>
  <c r="B287" i="53"/>
  <c r="B299" i="53"/>
  <c r="B311" i="53"/>
  <c r="B21" i="100" s="1"/>
  <c r="B323" i="53"/>
  <c r="S32" i="73" s="1"/>
  <c r="B335" i="53"/>
  <c r="B359" i="53"/>
  <c r="B371" i="53"/>
  <c r="B383" i="53"/>
  <c r="B407" i="53"/>
  <c r="B419" i="53"/>
  <c r="B431" i="53"/>
  <c r="B443" i="53"/>
  <c r="B467" i="53"/>
  <c r="B479" i="53"/>
  <c r="B491" i="53"/>
  <c r="B515" i="53"/>
  <c r="B527" i="53"/>
  <c r="B539" i="53"/>
  <c r="B551" i="53"/>
  <c r="B141" i="53"/>
  <c r="B81" i="53"/>
  <c r="U108" i="73" s="1"/>
  <c r="B48" i="53"/>
  <c r="U104" i="73" s="1"/>
  <c r="B648" i="53"/>
  <c r="B240" i="53"/>
  <c r="B372" i="53"/>
  <c r="B480" i="53"/>
  <c r="B25" i="53"/>
  <c r="B314" i="53"/>
  <c r="B398" i="53"/>
  <c r="B470" i="53"/>
  <c r="B506" i="53"/>
  <c r="B103" i="53"/>
  <c r="B15" i="53"/>
  <c r="A9" i="55" s="1"/>
  <c r="B723" i="53"/>
  <c r="C14" i="96" s="1"/>
  <c r="B683" i="53"/>
  <c r="B10" i="100" s="1"/>
  <c r="B661" i="53"/>
  <c r="B647" i="53"/>
  <c r="B635" i="53"/>
  <c r="B623" i="53"/>
  <c r="B610" i="53"/>
  <c r="B596" i="53"/>
  <c r="B583" i="53"/>
  <c r="E62" i="52" s="1"/>
  <c r="B571" i="53"/>
  <c r="B181" i="53"/>
  <c r="B193" i="53"/>
  <c r="B205" i="53"/>
  <c r="B217" i="53"/>
  <c r="B229" i="53"/>
  <c r="B241" i="53"/>
  <c r="B253" i="53"/>
  <c r="B265" i="53"/>
  <c r="B277" i="53"/>
  <c r="B289" i="53"/>
  <c r="B301" i="53"/>
  <c r="B18" i="100" s="1"/>
  <c r="B313" i="53"/>
  <c r="B325" i="53"/>
  <c r="AG22" i="73" s="1"/>
  <c r="B337" i="53"/>
  <c r="B349" i="53"/>
  <c r="B361" i="53"/>
  <c r="B373" i="53"/>
  <c r="B385" i="53"/>
  <c r="B397" i="53"/>
  <c r="B409" i="53"/>
  <c r="B421" i="53"/>
  <c r="B433" i="53"/>
  <c r="B445" i="53"/>
  <c r="B457" i="53"/>
  <c r="B469" i="53"/>
  <c r="B481" i="53"/>
  <c r="B493" i="53"/>
  <c r="B505" i="53"/>
  <c r="B517" i="53"/>
  <c r="B529" i="53"/>
  <c r="B541" i="53"/>
  <c r="B553" i="53"/>
  <c r="B565" i="53"/>
  <c r="X5" i="55" s="1"/>
  <c r="X56" i="91" s="1"/>
  <c r="B139" i="53"/>
  <c r="B106" i="51" s="1"/>
  <c r="B125" i="53"/>
  <c r="B114" i="53"/>
  <c r="B95" i="53"/>
  <c r="V12" i="96" s="1"/>
  <c r="B57" i="53"/>
  <c r="U106" i="73" s="1"/>
  <c r="B14" i="53"/>
  <c r="A8" i="55" s="1"/>
  <c r="B26" i="53"/>
  <c r="A28" i="55" s="1"/>
  <c r="B38" i="53"/>
  <c r="U94" i="73" s="1"/>
  <c r="B50" i="53"/>
  <c r="U88" i="73" s="1"/>
  <c r="B682" i="53"/>
  <c r="B9" i="100" s="1"/>
  <c r="B660" i="53"/>
  <c r="B646" i="53"/>
  <c r="B634" i="53"/>
  <c r="W1" i="52" s="1"/>
  <c r="B622" i="53"/>
  <c r="B609" i="53"/>
  <c r="B595" i="53"/>
  <c r="B582" i="53"/>
  <c r="E9" i="52" s="1"/>
  <c r="B170" i="53"/>
  <c r="B182" i="53"/>
  <c r="B194" i="53"/>
  <c r="B206" i="53"/>
  <c r="B218" i="53"/>
  <c r="C28" i="81" s="1"/>
  <c r="B230" i="53"/>
  <c r="B242" i="53"/>
  <c r="B254" i="53"/>
  <c r="B266" i="53"/>
  <c r="B278" i="53"/>
  <c r="P2" i="73" s="1"/>
  <c r="B566" i="53"/>
  <c r="B362" i="53"/>
  <c r="AC45" i="73"/>
  <c r="AA37" i="73"/>
  <c r="W35" i="80"/>
  <c r="U34" i="80"/>
  <c r="W34" i="80" s="1"/>
  <c r="AE4" i="104"/>
  <c r="B7" i="100"/>
  <c r="B5" i="100"/>
  <c r="AF45" i="73"/>
  <c r="AE45" i="73"/>
  <c r="AK29" i="73" s="1"/>
  <c r="AC28" i="73" s="1"/>
  <c r="U59" i="73"/>
  <c r="F16" i="79"/>
  <c r="S13" i="32"/>
  <c r="U66" i="73"/>
  <c r="A52" i="79"/>
  <c r="U1" i="52"/>
  <c r="Q56" i="79"/>
  <c r="A31" i="79"/>
  <c r="B99" i="51"/>
  <c r="U95" i="73"/>
  <c r="V32" i="79"/>
  <c r="B37" i="21"/>
  <c r="A13" i="79"/>
  <c r="AW16" i="32"/>
  <c r="AW15" i="32"/>
  <c r="AJ37" i="32"/>
  <c r="AJ38" i="32"/>
  <c r="AJ40" i="32"/>
  <c r="AJ39" i="32"/>
  <c r="AD45" i="73"/>
  <c r="F942" i="30"/>
  <c r="F941" i="30"/>
  <c r="G944" i="30"/>
  <c r="F943" i="30"/>
  <c r="U64" i="73" l="1"/>
  <c r="U90" i="73"/>
  <c r="DJ6" i="51"/>
  <c r="DJ8" i="51"/>
  <c r="DJ10" i="51"/>
  <c r="DI10" i="51"/>
  <c r="DI9" i="51"/>
  <c r="DI6" i="51"/>
  <c r="DH10" i="51"/>
  <c r="DH8" i="51"/>
  <c r="DH6" i="51"/>
  <c r="H23" i="32"/>
  <c r="H23" i="95"/>
  <c r="H23" i="94"/>
  <c r="H23" i="93"/>
  <c r="H23" i="92"/>
  <c r="H23" i="91"/>
  <c r="U70" i="73"/>
  <c r="U58" i="73"/>
  <c r="U78" i="73"/>
  <c r="U71" i="73"/>
  <c r="U83" i="73"/>
  <c r="U76" i="73"/>
  <c r="U72" i="73"/>
  <c r="U73" i="73"/>
  <c r="U80" i="73"/>
  <c r="U86" i="73"/>
  <c r="U60" i="73"/>
  <c r="U79" i="73"/>
  <c r="U63" i="73"/>
  <c r="U61" i="73"/>
  <c r="U85" i="73"/>
  <c r="U82" i="73"/>
  <c r="B24" i="95"/>
  <c r="B24" i="91"/>
  <c r="B24" i="92"/>
  <c r="B24" i="94"/>
  <c r="B24" i="93"/>
  <c r="H65" i="93"/>
  <c r="H65" i="92"/>
  <c r="H65" i="95"/>
  <c r="H65" i="91"/>
  <c r="H65" i="94"/>
  <c r="AC8" i="92"/>
  <c r="AC24" i="91"/>
  <c r="AC8" i="95"/>
  <c r="AC8" i="91"/>
  <c r="AC24" i="94"/>
  <c r="AC24" i="93"/>
  <c r="AC8" i="94"/>
  <c r="AC8" i="93"/>
  <c r="AC24" i="92"/>
  <c r="AC24" i="95"/>
  <c r="S24" i="91"/>
  <c r="S24" i="94"/>
  <c r="S24" i="93"/>
  <c r="S24" i="92"/>
  <c r="S24" i="95"/>
  <c r="B12" i="93"/>
  <c r="B12" i="92"/>
  <c r="B12" i="91"/>
  <c r="B12" i="95"/>
  <c r="B12" i="94"/>
  <c r="AO31" i="91"/>
  <c r="AO31" i="95"/>
  <c r="AO31" i="94"/>
  <c r="AO31" i="93"/>
  <c r="AO31" i="92"/>
  <c r="H66" i="92"/>
  <c r="H66" i="95"/>
  <c r="H66" i="91"/>
  <c r="H66" i="93"/>
  <c r="H66" i="94"/>
  <c r="H70" i="93"/>
  <c r="H70" i="92"/>
  <c r="H70" i="91"/>
  <c r="H70" i="95"/>
  <c r="H70" i="94"/>
  <c r="H71" i="93"/>
  <c r="H71" i="92"/>
  <c r="H71" i="95"/>
  <c r="H71" i="91"/>
  <c r="H71" i="94"/>
  <c r="Q57" i="91"/>
  <c r="Q57" i="93"/>
  <c r="Q57" i="92"/>
  <c r="Q57" i="94"/>
  <c r="Q57" i="95"/>
  <c r="B33" i="94"/>
  <c r="B33" i="93"/>
  <c r="B33" i="92"/>
  <c r="B33" i="91"/>
  <c r="B33" i="95"/>
  <c r="B25" i="93"/>
  <c r="B25" i="92"/>
  <c r="B25" i="95"/>
  <c r="B25" i="91"/>
  <c r="B25" i="94"/>
  <c r="AM14" i="95"/>
  <c r="AF9" i="95"/>
  <c r="AF25" i="93"/>
  <c r="AF9" i="92"/>
  <c r="AD14" i="95"/>
  <c r="AM14" i="91"/>
  <c r="AF9" i="91"/>
  <c r="AF25" i="94"/>
  <c r="AD14" i="91"/>
  <c r="AF25" i="92"/>
  <c r="AM14" i="94"/>
  <c r="AF9" i="94"/>
  <c r="AF25" i="91"/>
  <c r="AD14" i="92"/>
  <c r="AF25" i="95"/>
  <c r="AD14" i="94"/>
  <c r="AF9" i="93"/>
  <c r="AM14" i="93"/>
  <c r="AD14" i="93"/>
  <c r="AM14" i="92"/>
  <c r="B21" i="94"/>
  <c r="B21" i="92"/>
  <c r="B21" i="93"/>
  <c r="B21" i="95"/>
  <c r="B21" i="91"/>
  <c r="B11" i="94"/>
  <c r="B11" i="93"/>
  <c r="B11" i="92"/>
  <c r="B11" i="95"/>
  <c r="B11" i="91"/>
  <c r="AE10" i="94"/>
  <c r="AE10" i="92"/>
  <c r="AE10" i="91"/>
  <c r="AE10" i="93"/>
  <c r="AE10" i="95"/>
  <c r="Q55" i="94"/>
  <c r="Q55" i="93"/>
  <c r="Q55" i="91"/>
  <c r="Q55" i="92"/>
  <c r="Q55" i="95"/>
  <c r="B27" i="92"/>
  <c r="B27" i="95"/>
  <c r="B27" i="93"/>
  <c r="B27" i="91"/>
  <c r="B27" i="94"/>
  <c r="B8" i="92"/>
  <c r="B8" i="95"/>
  <c r="B8" i="91"/>
  <c r="B8" i="94"/>
  <c r="B8" i="93"/>
  <c r="K61" i="93"/>
  <c r="K61" i="92"/>
  <c r="K61" i="95"/>
  <c r="K61" i="91"/>
  <c r="K61" i="94"/>
  <c r="U77" i="73"/>
  <c r="H67" i="95"/>
  <c r="H67" i="91"/>
  <c r="H67" i="94"/>
  <c r="H67" i="92"/>
  <c r="H67" i="93"/>
  <c r="Q54" i="94"/>
  <c r="Q54" i="93"/>
  <c r="Q54" i="92"/>
  <c r="Q54" i="91"/>
  <c r="Q54" i="95"/>
  <c r="B26" i="92"/>
  <c r="B26" i="93"/>
  <c r="B26" i="95"/>
  <c r="B26" i="91"/>
  <c r="B26" i="94"/>
  <c r="A3" i="55"/>
  <c r="AT13" i="92"/>
  <c r="AT13" i="95"/>
  <c r="AT13" i="91"/>
  <c r="AT13" i="94"/>
  <c r="AT13" i="93"/>
  <c r="Q56" i="93"/>
  <c r="Q56" i="92"/>
  <c r="Q56" i="95"/>
  <c r="Q56" i="91"/>
  <c r="Q56" i="94"/>
  <c r="H61" i="93"/>
  <c r="H61" i="92"/>
  <c r="H61" i="95"/>
  <c r="H61" i="91"/>
  <c r="H61" i="94"/>
  <c r="E8" i="92"/>
  <c r="E8" i="95"/>
  <c r="E8" i="91"/>
  <c r="E8" i="93"/>
  <c r="E8" i="94"/>
  <c r="B14" i="92"/>
  <c r="B14" i="95"/>
  <c r="B14" i="93"/>
  <c r="B17" i="93"/>
  <c r="B17" i="95"/>
  <c r="B14" i="91"/>
  <c r="B17" i="94"/>
  <c r="B17" i="91"/>
  <c r="B14" i="94"/>
  <c r="B17" i="92"/>
  <c r="B7" i="91"/>
  <c r="B7" i="93"/>
  <c r="B7" i="92"/>
  <c r="B7" i="95"/>
  <c r="B7" i="94"/>
  <c r="AF30" i="91"/>
  <c r="AF30" i="94"/>
  <c r="AF30" i="93"/>
  <c r="AF30" i="92"/>
  <c r="AF30" i="95"/>
  <c r="S7" i="92"/>
  <c r="S7" i="93"/>
  <c r="S7" i="95"/>
  <c r="S7" i="91"/>
  <c r="S7" i="94"/>
  <c r="B28" i="92"/>
  <c r="B28" i="95"/>
  <c r="B28" i="91"/>
  <c r="B28" i="94"/>
  <c r="B28" i="93"/>
  <c r="B15" i="91"/>
  <c r="B15" i="94"/>
  <c r="B15" i="93"/>
  <c r="B15" i="92"/>
  <c r="B15" i="95"/>
  <c r="H68" i="94"/>
  <c r="H68" i="91"/>
  <c r="H68" i="93"/>
  <c r="H68" i="92"/>
  <c r="H68" i="95"/>
  <c r="AT37" i="93"/>
  <c r="AT37" i="91"/>
  <c r="AT37" i="92"/>
  <c r="AT37" i="95"/>
  <c r="AT37" i="94"/>
  <c r="D29" i="92"/>
  <c r="D29" i="95"/>
  <c r="D29" i="91"/>
  <c r="D29" i="94"/>
  <c r="D29" i="93"/>
  <c r="AR19" i="92"/>
  <c r="AR19" i="95"/>
  <c r="AR19" i="91"/>
  <c r="AR19" i="94"/>
  <c r="AR19" i="93"/>
  <c r="AL19" i="92"/>
  <c r="AL19" i="95"/>
  <c r="AL19" i="91"/>
  <c r="AL19" i="94"/>
  <c r="AL19" i="93"/>
  <c r="B5" i="95"/>
  <c r="V5" i="94"/>
  <c r="J5" i="91"/>
  <c r="R5" i="91"/>
  <c r="R5" i="94"/>
  <c r="F5" i="91"/>
  <c r="B5" i="91"/>
  <c r="N5" i="92"/>
  <c r="J5" i="95"/>
  <c r="N5" i="94"/>
  <c r="A2" i="95"/>
  <c r="D148" i="71" s="1"/>
  <c r="J5" i="94"/>
  <c r="V5" i="93"/>
  <c r="F5" i="94"/>
  <c r="R5" i="93"/>
  <c r="B5" i="94"/>
  <c r="N5" i="93"/>
  <c r="V5" i="92"/>
  <c r="N5" i="91"/>
  <c r="J5" i="93"/>
  <c r="R5" i="92"/>
  <c r="V5" i="95"/>
  <c r="F5" i="93"/>
  <c r="A2" i="93"/>
  <c r="D94" i="71" s="1"/>
  <c r="B5" i="92"/>
  <c r="R5" i="95"/>
  <c r="B5" i="93"/>
  <c r="J5" i="92"/>
  <c r="A2" i="94"/>
  <c r="D121" i="71" s="1"/>
  <c r="A2" i="92"/>
  <c r="D67" i="71" s="1"/>
  <c r="N5" i="95"/>
  <c r="F5" i="92"/>
  <c r="V5" i="91"/>
  <c r="A2" i="91"/>
  <c r="D40" i="71" s="1"/>
  <c r="F5" i="95"/>
  <c r="B32" i="94"/>
  <c r="B32" i="93"/>
  <c r="B32" i="92"/>
  <c r="B32" i="91"/>
  <c r="B32" i="95"/>
  <c r="H69" i="93"/>
  <c r="H69" i="92"/>
  <c r="H69" i="95"/>
  <c r="H69" i="91"/>
  <c r="H69" i="94"/>
  <c r="W37" i="93" a="1"/>
  <c r="W37" i="93" s="1"/>
  <c r="W37" i="92" a="1"/>
  <c r="W37" i="92" s="1"/>
  <c r="W37" i="95" a="1"/>
  <c r="W37" i="95" s="1"/>
  <c r="W37" i="91" a="1"/>
  <c r="W37" i="91" s="1"/>
  <c r="W37" i="94" a="1"/>
  <c r="W37" i="94" s="1"/>
  <c r="AP2" i="93"/>
  <c r="AP2" i="92"/>
  <c r="AP2" i="95"/>
  <c r="AP2" i="91"/>
  <c r="AP2" i="94"/>
  <c r="B30" i="95"/>
  <c r="B30" i="91"/>
  <c r="B30" i="94"/>
  <c r="B30" i="93"/>
  <c r="B30" i="92"/>
  <c r="B13" i="93"/>
  <c r="B13" i="94"/>
  <c r="B13" i="92"/>
  <c r="B13" i="91"/>
  <c r="B13" i="95"/>
  <c r="U69" i="73"/>
  <c r="A15" i="55"/>
  <c r="U65" i="73"/>
  <c r="A11" i="55"/>
  <c r="U62" i="73"/>
  <c r="A30" i="50"/>
  <c r="A30" i="55"/>
  <c r="U67" i="73"/>
  <c r="A13" i="55"/>
  <c r="U68" i="73"/>
  <c r="U74" i="73"/>
  <c r="A20" i="55"/>
  <c r="U81" i="73"/>
  <c r="A27" i="55"/>
  <c r="AC20" i="99"/>
  <c r="AC56" i="99"/>
  <c r="AC200" i="99"/>
  <c r="AC128" i="99"/>
  <c r="AC164" i="99"/>
  <c r="AC92" i="99"/>
  <c r="AT37" i="32"/>
  <c r="W37" i="32" a="1"/>
  <c r="W37" i="32" s="1"/>
  <c r="D29" i="32"/>
  <c r="U57" i="73"/>
  <c r="A18" i="79"/>
  <c r="U75" i="73"/>
  <c r="C15" i="73"/>
  <c r="B9" i="71"/>
  <c r="Z42" i="73"/>
  <c r="Z44" i="73"/>
  <c r="Z43" i="73"/>
  <c r="AK33" i="73"/>
  <c r="AC32" i="73" s="1"/>
  <c r="AL28" i="73"/>
  <c r="AL22" i="73"/>
  <c r="C32" i="96"/>
  <c r="B17" i="100"/>
  <c r="A13" i="63"/>
  <c r="A13" i="61"/>
  <c r="A13" i="57"/>
  <c r="A13" i="59"/>
  <c r="A13" i="50"/>
  <c r="C103" i="51"/>
  <c r="A116" i="51"/>
  <c r="C102" i="51"/>
  <c r="A117" i="51"/>
  <c r="X34" i="80"/>
  <c r="C11" i="73"/>
  <c r="B6" i="71"/>
  <c r="E17" i="80"/>
  <c r="M7" i="99" s="1"/>
  <c r="C13" i="73"/>
  <c r="E13" i="80"/>
  <c r="M5" i="99" s="1"/>
  <c r="C9" i="73"/>
  <c r="B101" i="51"/>
  <c r="A124" i="51"/>
  <c r="R34" i="80"/>
  <c r="R31" i="100"/>
  <c r="A36" i="55"/>
  <c r="A39" i="59"/>
  <c r="A39" i="63"/>
  <c r="A39" i="61"/>
  <c r="A39" i="57"/>
  <c r="A34" i="59"/>
  <c r="A34" i="57"/>
  <c r="A33" i="55"/>
  <c r="A34" i="63"/>
  <c r="A34" i="61"/>
  <c r="A58" i="59"/>
  <c r="A58" i="57"/>
  <c r="A58" i="63"/>
  <c r="A58" i="61"/>
  <c r="A40" i="63"/>
  <c r="A37" i="55"/>
  <c r="A40" i="59"/>
  <c r="A40" i="61"/>
  <c r="A40" i="57"/>
  <c r="A29" i="63"/>
  <c r="A29" i="61"/>
  <c r="A29" i="59"/>
  <c r="A29" i="57"/>
  <c r="A4" i="59"/>
  <c r="A4" i="63"/>
  <c r="A4" i="61"/>
  <c r="A4" i="57"/>
  <c r="A4" i="50"/>
  <c r="A14" i="57"/>
  <c r="A14" i="63"/>
  <c r="A14" i="50"/>
  <c r="A14" i="61"/>
  <c r="A14" i="59"/>
  <c r="A6" i="61"/>
  <c r="A6" i="59"/>
  <c r="A6" i="57"/>
  <c r="A6" i="63"/>
  <c r="A6" i="50"/>
  <c r="A36" i="57"/>
  <c r="A36" i="61"/>
  <c r="A36" i="63"/>
  <c r="A35" i="55"/>
  <c r="A36" i="59"/>
  <c r="A17" i="63"/>
  <c r="A17" i="61"/>
  <c r="A17" i="50"/>
  <c r="A17" i="59"/>
  <c r="A17" i="57"/>
  <c r="A43" i="61"/>
  <c r="A43" i="57"/>
  <c r="A43" i="59"/>
  <c r="A43" i="63"/>
  <c r="A40" i="55"/>
  <c r="A12" i="57"/>
  <c r="A12" i="63"/>
  <c r="A12" i="50"/>
  <c r="A12" i="61"/>
  <c r="A12" i="59"/>
  <c r="A7" i="61"/>
  <c r="A7" i="59"/>
  <c r="A7" i="57"/>
  <c r="A7" i="50"/>
  <c r="A7" i="63"/>
  <c r="A46" i="59"/>
  <c r="A46" i="57"/>
  <c r="A43" i="55"/>
  <c r="A46" i="63"/>
  <c r="A46" i="61"/>
  <c r="A11" i="57"/>
  <c r="A11" i="50"/>
  <c r="A11" i="63"/>
  <c r="A11" i="61"/>
  <c r="A11" i="59"/>
  <c r="A33" i="59"/>
  <c r="A33" i="63"/>
  <c r="A33" i="57"/>
  <c r="A33" i="61"/>
  <c r="A49" i="57"/>
  <c r="A49" i="61"/>
  <c r="A49" i="63"/>
  <c r="A46" i="55"/>
  <c r="A49" i="59"/>
  <c r="A56" i="55"/>
  <c r="A63" i="63"/>
  <c r="A63" i="61"/>
  <c r="A63" i="59"/>
  <c r="A63" i="57"/>
  <c r="A56" i="50"/>
  <c r="A44" i="61"/>
  <c r="A44" i="59"/>
  <c r="A44" i="63"/>
  <c r="A44" i="57"/>
  <c r="A41" i="55"/>
  <c r="B48" i="73"/>
  <c r="A10" i="59"/>
  <c r="A10" i="57"/>
  <c r="A10" i="63"/>
  <c r="A10" i="50"/>
  <c r="A10" i="61"/>
  <c r="A27" i="50"/>
  <c r="A27" i="63"/>
  <c r="A27" i="59"/>
  <c r="A27" i="61"/>
  <c r="A27" i="57"/>
  <c r="BW3" i="51"/>
  <c r="Q56" i="32"/>
  <c r="A54" i="50"/>
  <c r="A61" i="57"/>
  <c r="A61" i="63"/>
  <c r="A54" i="55"/>
  <c r="A61" i="61"/>
  <c r="A61" i="59"/>
  <c r="BW2" i="51"/>
  <c r="Q57" i="32"/>
  <c r="A23" i="59"/>
  <c r="A23" i="57"/>
  <c r="A23" i="63"/>
  <c r="A23" i="50"/>
  <c r="A23" i="61"/>
  <c r="A25" i="57"/>
  <c r="A25" i="61"/>
  <c r="A25" i="63"/>
  <c r="A25" i="50"/>
  <c r="A25" i="59"/>
  <c r="A47" i="59"/>
  <c r="A47" i="57"/>
  <c r="A44" i="55"/>
  <c r="A47" i="63"/>
  <c r="A47" i="61"/>
  <c r="A9" i="63"/>
  <c r="A9" i="59"/>
  <c r="A9" i="57"/>
  <c r="A9" i="50"/>
  <c r="A9" i="61"/>
  <c r="A16" i="63"/>
  <c r="A16" i="59"/>
  <c r="A16" i="61"/>
  <c r="A16" i="57"/>
  <c r="A41" i="63"/>
  <c r="A38" i="55"/>
  <c r="A41" i="61"/>
  <c r="A41" i="59"/>
  <c r="A41" i="57"/>
  <c r="A50" i="57"/>
  <c r="A50" i="63"/>
  <c r="A47" i="55"/>
  <c r="A50" i="61"/>
  <c r="A50" i="59"/>
  <c r="A53" i="63"/>
  <c r="A50" i="55"/>
  <c r="A53" i="61"/>
  <c r="A53" i="59"/>
  <c r="A53" i="57"/>
  <c r="A56" i="61"/>
  <c r="A56" i="59"/>
  <c r="A56" i="57"/>
  <c r="A56" i="63"/>
  <c r="A32" i="61"/>
  <c r="A32" i="59"/>
  <c r="A32" i="57"/>
  <c r="A32" i="63"/>
  <c r="A64" i="59"/>
  <c r="A64" i="63"/>
  <c r="A57" i="55"/>
  <c r="A64" i="61"/>
  <c r="A64" i="57"/>
  <c r="AJ2" i="73"/>
  <c r="A22" i="59"/>
  <c r="A22" i="57"/>
  <c r="A22" i="63"/>
  <c r="A22" i="50"/>
  <c r="A22" i="61"/>
  <c r="A19" i="57"/>
  <c r="A19" i="61"/>
  <c r="A19" i="50"/>
  <c r="A19" i="59"/>
  <c r="A19" i="63"/>
  <c r="A42" i="61"/>
  <c r="A42" i="59"/>
  <c r="A42" i="57"/>
  <c r="A42" i="63"/>
  <c r="A39" i="55"/>
  <c r="A65" i="63"/>
  <c r="A58" i="55"/>
  <c r="A65" i="61"/>
  <c r="A65" i="59"/>
  <c r="A65" i="57"/>
  <c r="A30" i="57"/>
  <c r="A30" i="61"/>
  <c r="A30" i="59"/>
  <c r="A30" i="63"/>
  <c r="A8" i="59"/>
  <c r="A8" i="57"/>
  <c r="A8" i="63"/>
  <c r="A8" i="61"/>
  <c r="A8" i="50"/>
  <c r="BW4" i="51"/>
  <c r="Q54" i="32"/>
  <c r="A38" i="57"/>
  <c r="A38" i="63"/>
  <c r="A38" i="61"/>
  <c r="A38" i="59"/>
  <c r="A54" i="61"/>
  <c r="A54" i="57"/>
  <c r="A54" i="59"/>
  <c r="A54" i="63"/>
  <c r="A51" i="55"/>
  <c r="A53" i="50"/>
  <c r="A60" i="57"/>
  <c r="A53" i="55"/>
  <c r="A60" i="63"/>
  <c r="A60" i="61"/>
  <c r="A60" i="59"/>
  <c r="A26" i="57"/>
  <c r="A26" i="63"/>
  <c r="A26" i="61"/>
  <c r="A26" i="50"/>
  <c r="A26" i="59"/>
  <c r="A57" i="59"/>
  <c r="A57" i="57"/>
  <c r="A57" i="63"/>
  <c r="A57" i="61"/>
  <c r="A20" i="61"/>
  <c r="A20" i="59"/>
  <c r="A20" i="57"/>
  <c r="A20" i="50"/>
  <c r="A20" i="63"/>
  <c r="A37" i="57"/>
  <c r="A37" i="63"/>
  <c r="A37" i="61"/>
  <c r="A37" i="59"/>
  <c r="A18" i="61"/>
  <c r="A18" i="50"/>
  <c r="A18" i="59"/>
  <c r="A18" i="57"/>
  <c r="A18" i="63"/>
  <c r="A15" i="59"/>
  <c r="A15" i="63"/>
  <c r="A15" i="61"/>
  <c r="A15" i="57"/>
  <c r="A29" i="50"/>
  <c r="A31" i="61"/>
  <c r="A31" i="59"/>
  <c r="A31" i="57"/>
  <c r="A31" i="63"/>
  <c r="A48" i="57"/>
  <c r="A48" i="63"/>
  <c r="A45" i="55"/>
  <c r="A48" i="61"/>
  <c r="A48" i="59"/>
  <c r="A24" i="57"/>
  <c r="A24" i="63"/>
  <c r="A24" i="61"/>
  <c r="A24" i="59"/>
  <c r="A49" i="55"/>
  <c r="A52" i="63"/>
  <c r="A52" i="61"/>
  <c r="A52" i="59"/>
  <c r="A52" i="57"/>
  <c r="A55" i="61"/>
  <c r="A55" i="59"/>
  <c r="A55" i="57"/>
  <c r="A55" i="63"/>
  <c r="A52" i="55"/>
  <c r="A28" i="63"/>
  <c r="A28" i="61"/>
  <c r="A28" i="50"/>
  <c r="A28" i="59"/>
  <c r="A28" i="57"/>
  <c r="A35" i="59"/>
  <c r="A34" i="55"/>
  <c r="A35" i="57"/>
  <c r="A35" i="63"/>
  <c r="A35" i="61"/>
  <c r="BW5" i="51"/>
  <c r="Q55" i="32"/>
  <c r="A3" i="63"/>
  <c r="A3" i="61"/>
  <c r="A3" i="59"/>
  <c r="A3" i="57"/>
  <c r="A3" i="50"/>
  <c r="A59" i="59"/>
  <c r="A59" i="57"/>
  <c r="A59" i="63"/>
  <c r="A59" i="61"/>
  <c r="A62" i="57"/>
  <c r="A55" i="55"/>
  <c r="A62" i="63"/>
  <c r="A62" i="61"/>
  <c r="A62" i="59"/>
  <c r="A48" i="55"/>
  <c r="A51" i="63"/>
  <c r="A51" i="61"/>
  <c r="A51" i="59"/>
  <c r="A51" i="57"/>
  <c r="A45" i="59"/>
  <c r="A45" i="63"/>
  <c r="A45" i="57"/>
  <c r="A42" i="55"/>
  <c r="A45" i="61"/>
  <c r="A5" i="63"/>
  <c r="A5" i="61"/>
  <c r="A5" i="59"/>
  <c r="A5" i="57"/>
  <c r="A5" i="50"/>
  <c r="A21" i="50"/>
  <c r="A21" i="59"/>
  <c r="A21" i="57"/>
  <c r="A21" i="63"/>
  <c r="A21" i="61"/>
  <c r="A38" i="97"/>
  <c r="A32" i="50"/>
  <c r="A37" i="50"/>
  <c r="A38" i="50"/>
  <c r="A47" i="50"/>
  <c r="A40" i="50"/>
  <c r="A42" i="50"/>
  <c r="A49" i="50"/>
  <c r="A43" i="50"/>
  <c r="A46" i="50"/>
  <c r="A41" i="50"/>
  <c r="A50" i="50"/>
  <c r="A35" i="50"/>
  <c r="A48" i="50"/>
  <c r="D82" i="53"/>
  <c r="A57" i="50"/>
  <c r="A58" i="50"/>
  <c r="L75" i="51"/>
  <c r="K75" i="51"/>
  <c r="A92" i="51"/>
  <c r="L74" i="51"/>
  <c r="A84" i="51"/>
  <c r="K74" i="51"/>
  <c r="B67" i="44"/>
  <c r="I56" i="73"/>
  <c r="M56" i="73"/>
  <c r="E56" i="73"/>
  <c r="AK31" i="73"/>
  <c r="AC30" i="73" s="1"/>
  <c r="AL30" i="73" s="1"/>
  <c r="CJ7" i="51"/>
  <c r="CJ6" i="51"/>
  <c r="CJ10" i="51"/>
  <c r="CJ9" i="51"/>
  <c r="CJ8" i="51"/>
  <c r="BR2" i="51"/>
  <c r="AB200" i="104"/>
  <c r="AB56" i="104"/>
  <c r="AB164" i="104"/>
  <c r="AB20" i="104"/>
  <c r="AB92" i="104"/>
  <c r="AB128" i="104"/>
  <c r="DE10" i="51"/>
  <c r="DE9" i="51"/>
  <c r="DD9" i="51"/>
  <c r="DC8" i="51"/>
  <c r="DC7" i="51"/>
  <c r="DF10" i="51"/>
  <c r="DE8" i="51"/>
  <c r="DD10" i="51"/>
  <c r="DK10" i="51"/>
  <c r="DL10" i="51"/>
  <c r="DC10" i="51"/>
  <c r="DL9" i="51"/>
  <c r="DK8" i="51"/>
  <c r="DC9" i="51"/>
  <c r="DK9" i="51"/>
  <c r="DF9" i="51"/>
  <c r="B69" i="44"/>
  <c r="B68" i="44"/>
  <c r="A55" i="50"/>
  <c r="B66" i="44"/>
  <c r="B17" i="32"/>
  <c r="BQ2" i="51"/>
  <c r="CZ10" i="51"/>
  <c r="CL10" i="51"/>
  <c r="CO6" i="51"/>
  <c r="CJ5" i="51"/>
  <c r="CZ8" i="51"/>
  <c r="CU6" i="51"/>
  <c r="CO9" i="51"/>
  <c r="CO10" i="51"/>
  <c r="CY10" i="51"/>
  <c r="CK10" i="51"/>
  <c r="CN6" i="51"/>
  <c r="CI5" i="51"/>
  <c r="CY9" i="51"/>
  <c r="CM6" i="51"/>
  <c r="CN8" i="51"/>
  <c r="CV10" i="51"/>
  <c r="CP8" i="51"/>
  <c r="CM10" i="51"/>
  <c r="CU10" i="51"/>
  <c r="CU9" i="51"/>
  <c r="CV8" i="51"/>
  <c r="CZ6" i="51"/>
  <c r="CL6" i="51"/>
  <c r="CK6" i="51"/>
  <c r="CV6" i="51"/>
  <c r="CP10" i="51"/>
  <c r="CL8" i="51"/>
  <c r="CP6" i="51"/>
  <c r="CY6" i="51"/>
  <c r="CK9" i="51"/>
  <c r="CM9" i="51"/>
  <c r="CN10" i="51"/>
  <c r="DF8" i="51"/>
  <c r="DK7" i="51"/>
  <c r="DE6" i="51"/>
  <c r="DC6" i="51"/>
  <c r="CR9" i="51"/>
  <c r="CR7" i="51"/>
  <c r="DK6" i="51"/>
  <c r="DL7" i="51"/>
  <c r="DD8" i="51"/>
  <c r="DF7" i="51"/>
  <c r="DD6" i="51"/>
  <c r="CT7" i="51"/>
  <c r="CQ8" i="51"/>
  <c r="CR5" i="51"/>
  <c r="DF6" i="51"/>
  <c r="DE7" i="51"/>
  <c r="DE5" i="51"/>
  <c r="DC5" i="51"/>
  <c r="CS5" i="51"/>
  <c r="DD7" i="51"/>
  <c r="DL6" i="51"/>
  <c r="CT9" i="51"/>
  <c r="CT5" i="51"/>
  <c r="CQ5" i="51"/>
  <c r="CS8" i="51"/>
  <c r="DK5" i="51"/>
  <c r="CS7" i="51"/>
  <c r="CQ7" i="51"/>
  <c r="DL8" i="51"/>
  <c r="CT8" i="51"/>
  <c r="CS9" i="51"/>
  <c r="CR8" i="51"/>
  <c r="CS6" i="51"/>
  <c r="CQ6" i="51"/>
  <c r="CR10" i="51"/>
  <c r="CQ10" i="51"/>
  <c r="CT10" i="51"/>
  <c r="CQ9" i="51"/>
  <c r="CR6" i="51"/>
  <c r="CS10" i="51"/>
  <c r="CT6" i="51"/>
  <c r="D45" i="52"/>
  <c r="P26" i="52"/>
  <c r="P23" i="52"/>
  <c r="P20" i="52"/>
  <c r="P17" i="52"/>
  <c r="P14" i="52"/>
  <c r="P11" i="52"/>
  <c r="P8" i="52"/>
  <c r="P27" i="52"/>
  <c r="P24" i="52"/>
  <c r="P21" i="52"/>
  <c r="P18" i="52"/>
  <c r="P15" i="52"/>
  <c r="P12" i="52"/>
  <c r="P9" i="52"/>
  <c r="P65" i="52"/>
  <c r="P62" i="52"/>
  <c r="P59" i="52"/>
  <c r="P56" i="52"/>
  <c r="P19" i="52"/>
  <c r="P13" i="52"/>
  <c r="P60" i="52"/>
  <c r="P36" i="52"/>
  <c r="P58" i="52"/>
  <c r="P53" i="52"/>
  <c r="P51" i="52"/>
  <c r="P44" i="52"/>
  <c r="P42" i="52"/>
  <c r="P35" i="52"/>
  <c r="P33" i="52"/>
  <c r="P7" i="52"/>
  <c r="P63" i="52"/>
  <c r="P55" i="52"/>
  <c r="P46" i="52"/>
  <c r="P37" i="52"/>
  <c r="P3" i="52"/>
  <c r="P25" i="52"/>
  <c r="P38" i="52"/>
  <c r="P22" i="52"/>
  <c r="P50" i="52"/>
  <c r="P48" i="52"/>
  <c r="P41" i="52"/>
  <c r="P39" i="52"/>
  <c r="P32" i="52"/>
  <c r="P30" i="52"/>
  <c r="P47" i="52"/>
  <c r="P57" i="52"/>
  <c r="P16" i="52"/>
  <c r="P10" i="52"/>
  <c r="P52" i="52"/>
  <c r="P43" i="52"/>
  <c r="P34" i="52"/>
  <c r="P4" i="52"/>
  <c r="P66" i="52"/>
  <c r="P54" i="52"/>
  <c r="P45" i="52"/>
  <c r="P29" i="52"/>
  <c r="P64" i="52"/>
  <c r="P61" i="52"/>
  <c r="P49" i="52"/>
  <c r="P40" i="52"/>
  <c r="P31" i="52"/>
  <c r="P5" i="52"/>
  <c r="P2" i="52"/>
  <c r="V63" i="52"/>
  <c r="V58" i="52"/>
  <c r="V53" i="52"/>
  <c r="V44" i="52"/>
  <c r="V35" i="52"/>
  <c r="V3" i="52"/>
  <c r="V65" i="52"/>
  <c r="V27" i="52"/>
  <c r="V41" i="52"/>
  <c r="V32" i="52"/>
  <c r="V66" i="52"/>
  <c r="V60" i="52"/>
  <c r="V25" i="52"/>
  <c r="V23" i="52"/>
  <c r="V10" i="52"/>
  <c r="V29" i="52"/>
  <c r="V9" i="52"/>
  <c r="V55" i="52"/>
  <c r="V48" i="52"/>
  <c r="V46" i="52"/>
  <c r="V39" i="52"/>
  <c r="V37" i="52"/>
  <c r="V30" i="52"/>
  <c r="V18" i="52"/>
  <c r="V16" i="52"/>
  <c r="V12" i="52"/>
  <c r="V15" i="52"/>
  <c r="V57" i="52"/>
  <c r="V50" i="52"/>
  <c r="V14" i="52"/>
  <c r="V8" i="52"/>
  <c r="V26" i="52"/>
  <c r="V13" i="52"/>
  <c r="V4" i="52"/>
  <c r="V22" i="52"/>
  <c r="V20" i="52"/>
  <c r="V62" i="52"/>
  <c r="V54" i="52"/>
  <c r="V52" i="52"/>
  <c r="V45" i="52"/>
  <c r="V43" i="52"/>
  <c r="V36" i="52"/>
  <c r="V34" i="52"/>
  <c r="V56" i="52"/>
  <c r="V19" i="52"/>
  <c r="V59" i="52"/>
  <c r="V24" i="52"/>
  <c r="V5" i="52"/>
  <c r="V47" i="52"/>
  <c r="V38" i="52"/>
  <c r="V2" i="52"/>
  <c r="V7" i="52"/>
  <c r="V64" i="52"/>
  <c r="V61" i="52"/>
  <c r="V51" i="52"/>
  <c r="V49" i="52"/>
  <c r="V42" i="52"/>
  <c r="V40" i="52"/>
  <c r="V33" i="52"/>
  <c r="V31" i="52"/>
  <c r="V17" i="52"/>
  <c r="V11" i="52"/>
  <c r="V21" i="52"/>
  <c r="N65" i="52"/>
  <c r="N62" i="52"/>
  <c r="N64" i="52"/>
  <c r="N61" i="52"/>
  <c r="N49" i="52"/>
  <c r="N40" i="52"/>
  <c r="N31" i="52"/>
  <c r="N17" i="52"/>
  <c r="N15" i="52"/>
  <c r="N11" i="52"/>
  <c r="N9" i="52"/>
  <c r="N5" i="52"/>
  <c r="N2" i="52"/>
  <c r="N46" i="52"/>
  <c r="N37" i="52"/>
  <c r="N21" i="52"/>
  <c r="N19" i="52"/>
  <c r="N13" i="52"/>
  <c r="N4" i="52"/>
  <c r="N24" i="52"/>
  <c r="N58" i="52"/>
  <c r="N53" i="52"/>
  <c r="N51" i="52"/>
  <c r="N44" i="52"/>
  <c r="N42" i="52"/>
  <c r="N35" i="52"/>
  <c r="N33" i="52"/>
  <c r="N7" i="52"/>
  <c r="N23" i="52"/>
  <c r="N55" i="52"/>
  <c r="N3" i="52"/>
  <c r="N63" i="52"/>
  <c r="N60" i="52"/>
  <c r="N27" i="52"/>
  <c r="N25" i="52"/>
  <c r="N50" i="52"/>
  <c r="N48" i="52"/>
  <c r="N41" i="52"/>
  <c r="N39" i="52"/>
  <c r="N32" i="52"/>
  <c r="N30" i="52"/>
  <c r="N18" i="52"/>
  <c r="N14" i="52"/>
  <c r="N12" i="52"/>
  <c r="N57" i="52"/>
  <c r="N20" i="52"/>
  <c r="N16" i="52"/>
  <c r="N10" i="52"/>
  <c r="N8" i="52"/>
  <c r="N66" i="52"/>
  <c r="N22" i="52"/>
  <c r="N59" i="52"/>
  <c r="N52" i="52"/>
  <c r="N43" i="52"/>
  <c r="N34" i="52"/>
  <c r="N56" i="52"/>
  <c r="N54" i="52"/>
  <c r="N47" i="52"/>
  <c r="N45" i="52"/>
  <c r="N38" i="52"/>
  <c r="N36" i="52"/>
  <c r="N29" i="52"/>
  <c r="N26" i="52"/>
  <c r="CD13" i="61"/>
  <c r="CD11" i="61"/>
  <c r="CD13" i="59"/>
  <c r="CD13" i="50"/>
  <c r="CD11" i="59"/>
  <c r="CD11" i="50"/>
  <c r="CD13" i="57"/>
  <c r="CD11" i="57"/>
  <c r="CD13" i="55"/>
  <c r="CD11" i="55"/>
  <c r="CD13" i="63"/>
  <c r="AB32" i="61"/>
  <c r="AB32" i="57"/>
  <c r="AB30" i="57"/>
  <c r="AB30" i="59"/>
  <c r="CD11" i="63"/>
  <c r="AB30" i="61"/>
  <c r="AB30" i="50"/>
  <c r="AB32" i="55"/>
  <c r="AB32" i="59"/>
  <c r="AB32" i="50"/>
  <c r="AB30" i="55"/>
  <c r="AB32" i="63"/>
  <c r="AB30" i="63"/>
  <c r="X27" i="52"/>
  <c r="X24" i="52"/>
  <c r="X21" i="52"/>
  <c r="X18" i="52"/>
  <c r="X15" i="52"/>
  <c r="X12" i="52"/>
  <c r="X9" i="52"/>
  <c r="X25" i="52"/>
  <c r="X22" i="52"/>
  <c r="X19" i="52"/>
  <c r="X16" i="52"/>
  <c r="X13" i="52"/>
  <c r="X10" i="52"/>
  <c r="X7" i="52"/>
  <c r="X63" i="52"/>
  <c r="X60" i="52"/>
  <c r="X57" i="52"/>
  <c r="X23" i="52"/>
  <c r="X14" i="52"/>
  <c r="X8" i="52"/>
  <c r="X4" i="52"/>
  <c r="X66" i="52"/>
  <c r="X55" i="52"/>
  <c r="X48" i="52"/>
  <c r="X46" i="52"/>
  <c r="X39" i="52"/>
  <c r="X37" i="52"/>
  <c r="X30" i="52"/>
  <c r="X32" i="52"/>
  <c r="X51" i="52"/>
  <c r="X49" i="52"/>
  <c r="X40" i="52"/>
  <c r="X33" i="52"/>
  <c r="X17" i="52"/>
  <c r="X50" i="52"/>
  <c r="X41" i="52"/>
  <c r="X20" i="52"/>
  <c r="X42" i="52"/>
  <c r="X62" i="52"/>
  <c r="X54" i="52"/>
  <c r="X52" i="52"/>
  <c r="X45" i="52"/>
  <c r="X43" i="52"/>
  <c r="X36" i="52"/>
  <c r="X34" i="52"/>
  <c r="X59" i="52"/>
  <c r="X47" i="52"/>
  <c r="X38" i="52"/>
  <c r="X29" i="52"/>
  <c r="X5" i="52"/>
  <c r="X2" i="52"/>
  <c r="X26" i="52"/>
  <c r="X56" i="52"/>
  <c r="X64" i="52"/>
  <c r="X31" i="52"/>
  <c r="X61" i="52"/>
  <c r="X11" i="52"/>
  <c r="X58" i="52"/>
  <c r="X53" i="52"/>
  <c r="X44" i="52"/>
  <c r="X35" i="52"/>
  <c r="X3" i="52"/>
  <c r="X65" i="52"/>
  <c r="L63" i="52"/>
  <c r="L60" i="52"/>
  <c r="L57" i="52"/>
  <c r="L54" i="52"/>
  <c r="L51" i="52"/>
  <c r="L48" i="52"/>
  <c r="L45" i="52"/>
  <c r="L42" i="52"/>
  <c r="L39" i="52"/>
  <c r="L36" i="52"/>
  <c r="L33" i="52"/>
  <c r="L30" i="52"/>
  <c r="L64" i="52"/>
  <c r="L61" i="52"/>
  <c r="L58" i="52"/>
  <c r="L55" i="52"/>
  <c r="L52" i="52"/>
  <c r="L49" i="52"/>
  <c r="L46" i="52"/>
  <c r="L43" i="52"/>
  <c r="L40" i="52"/>
  <c r="L37" i="52"/>
  <c r="L34" i="52"/>
  <c r="L31" i="52"/>
  <c r="L65" i="52"/>
  <c r="L26" i="52"/>
  <c r="L53" i="52"/>
  <c r="L44" i="52"/>
  <c r="L35" i="52"/>
  <c r="L23" i="52"/>
  <c r="L17" i="52"/>
  <c r="L15" i="52"/>
  <c r="L11" i="52"/>
  <c r="L9" i="52"/>
  <c r="L5" i="52"/>
  <c r="L2" i="52"/>
  <c r="L21" i="52"/>
  <c r="L19" i="52"/>
  <c r="L13" i="52"/>
  <c r="L7" i="52"/>
  <c r="L66" i="52"/>
  <c r="L22" i="52"/>
  <c r="L4" i="52"/>
  <c r="L3" i="52"/>
  <c r="L20" i="52"/>
  <c r="L27" i="52"/>
  <c r="L25" i="52"/>
  <c r="L8" i="52"/>
  <c r="L62" i="52"/>
  <c r="L50" i="52"/>
  <c r="L41" i="52"/>
  <c r="L32" i="52"/>
  <c r="L18" i="52"/>
  <c r="L14" i="52"/>
  <c r="L12" i="52"/>
  <c r="L16" i="52"/>
  <c r="L59" i="52"/>
  <c r="L10" i="52"/>
  <c r="L24" i="52"/>
  <c r="L56" i="52"/>
  <c r="L47" i="52"/>
  <c r="L38" i="52"/>
  <c r="L29" i="52"/>
  <c r="R26" i="52"/>
  <c r="R23" i="52"/>
  <c r="R20" i="52"/>
  <c r="R17" i="52"/>
  <c r="R14" i="52"/>
  <c r="R11" i="52"/>
  <c r="R64" i="52"/>
  <c r="R61" i="52"/>
  <c r="R58" i="52"/>
  <c r="R55" i="52"/>
  <c r="R52" i="52"/>
  <c r="R49" i="52"/>
  <c r="R46" i="52"/>
  <c r="R43" i="52"/>
  <c r="R40" i="52"/>
  <c r="R37" i="52"/>
  <c r="R34" i="52"/>
  <c r="R31" i="52"/>
  <c r="R27" i="52"/>
  <c r="R24" i="52"/>
  <c r="R21" i="52"/>
  <c r="R65" i="52"/>
  <c r="R62" i="52"/>
  <c r="R59" i="52"/>
  <c r="R56" i="52"/>
  <c r="R53" i="52"/>
  <c r="R50" i="52"/>
  <c r="R47" i="52"/>
  <c r="R44" i="52"/>
  <c r="R41" i="52"/>
  <c r="R38" i="52"/>
  <c r="R35" i="52"/>
  <c r="R32" i="52"/>
  <c r="R29" i="52"/>
  <c r="R51" i="52"/>
  <c r="R42" i="52"/>
  <c r="R33" i="52"/>
  <c r="R7" i="52"/>
  <c r="R60" i="52"/>
  <c r="R25" i="52"/>
  <c r="R30" i="52"/>
  <c r="R2" i="52"/>
  <c r="R63" i="52"/>
  <c r="R28" i="52"/>
  <c r="R3" i="52"/>
  <c r="R48" i="52"/>
  <c r="R39" i="52"/>
  <c r="R57" i="52"/>
  <c r="R18" i="52"/>
  <c r="R16" i="52"/>
  <c r="R12" i="52"/>
  <c r="R10" i="52"/>
  <c r="R6" i="52"/>
  <c r="R45" i="52"/>
  <c r="R8" i="52"/>
  <c r="R4" i="52"/>
  <c r="R66" i="52"/>
  <c r="R36" i="52"/>
  <c r="R22" i="52"/>
  <c r="R54" i="52"/>
  <c r="R19" i="52"/>
  <c r="R15" i="52"/>
  <c r="R13" i="52"/>
  <c r="R9" i="52"/>
  <c r="R5" i="52"/>
  <c r="T64" i="52"/>
  <c r="T61" i="52"/>
  <c r="T58" i="52"/>
  <c r="T55" i="52"/>
  <c r="T52" i="52"/>
  <c r="T49" i="52"/>
  <c r="T46" i="52"/>
  <c r="T43" i="52"/>
  <c r="T40" i="52"/>
  <c r="T37" i="52"/>
  <c r="T34" i="52"/>
  <c r="T31" i="52"/>
  <c r="T6" i="52"/>
  <c r="T65" i="52"/>
  <c r="T62" i="52"/>
  <c r="T59" i="52"/>
  <c r="T56" i="52"/>
  <c r="T53" i="52"/>
  <c r="T50" i="52"/>
  <c r="T47" i="52"/>
  <c r="T44" i="52"/>
  <c r="T41" i="52"/>
  <c r="T38" i="52"/>
  <c r="T35" i="52"/>
  <c r="T32" i="52"/>
  <c r="T29" i="52"/>
  <c r="T21" i="52"/>
  <c r="T48" i="52"/>
  <c r="T39" i="52"/>
  <c r="T16" i="52"/>
  <c r="T12" i="52"/>
  <c r="T2" i="52"/>
  <c r="T13" i="52"/>
  <c r="T63" i="52"/>
  <c r="T28" i="52"/>
  <c r="T3" i="52"/>
  <c r="T5" i="52"/>
  <c r="T15" i="52"/>
  <c r="T60" i="52"/>
  <c r="T25" i="52"/>
  <c r="T23" i="52"/>
  <c r="T30" i="52"/>
  <c r="T10" i="52"/>
  <c r="T57" i="52"/>
  <c r="T27" i="52"/>
  <c r="T19" i="52"/>
  <c r="T18" i="52"/>
  <c r="T14" i="52"/>
  <c r="T8" i="52"/>
  <c r="T4" i="52"/>
  <c r="T66" i="52"/>
  <c r="T22" i="52"/>
  <c r="T20" i="52"/>
  <c r="T54" i="52"/>
  <c r="T45" i="52"/>
  <c r="T36" i="52"/>
  <c r="T24" i="52"/>
  <c r="T9" i="52"/>
  <c r="T26" i="52"/>
  <c r="T51" i="52"/>
  <c r="T42" i="52"/>
  <c r="T33" i="52"/>
  <c r="T17" i="52"/>
  <c r="T11" i="52"/>
  <c r="T7" i="52"/>
  <c r="D20" i="52"/>
  <c r="C118" i="51"/>
  <c r="A105" i="51"/>
  <c r="C106" i="51"/>
  <c r="A97" i="51"/>
  <c r="A103" i="51"/>
  <c r="C116" i="51"/>
  <c r="C107" i="51"/>
  <c r="A98" i="51"/>
  <c r="F98" i="51"/>
  <c r="E98" i="51"/>
  <c r="B98" i="51"/>
  <c r="A113" i="51"/>
  <c r="E103" i="51"/>
  <c r="F103" i="51"/>
  <c r="A126" i="51"/>
  <c r="A104" i="51"/>
  <c r="C117" i="51"/>
  <c r="C108" i="51"/>
  <c r="A99" i="51"/>
  <c r="A137" i="51"/>
  <c r="C120" i="51"/>
  <c r="F107" i="51"/>
  <c r="E107" i="51"/>
  <c r="A130" i="51"/>
  <c r="A120" i="51"/>
  <c r="C104" i="51"/>
  <c r="C97" i="51"/>
  <c r="A135" i="51"/>
  <c r="C99" i="51"/>
  <c r="A101" i="51"/>
  <c r="C112" i="51"/>
  <c r="A109" i="51"/>
  <c r="A118" i="51"/>
  <c r="C114" i="51"/>
  <c r="C98" i="51"/>
  <c r="A100" i="51"/>
  <c r="C122" i="51"/>
  <c r="A139" i="51"/>
  <c r="C119" i="51"/>
  <c r="A136" i="51"/>
  <c r="F110" i="51"/>
  <c r="E110" i="51"/>
  <c r="A133" i="51"/>
  <c r="A102" i="51"/>
  <c r="C115" i="51"/>
  <c r="E100" i="51"/>
  <c r="F100" i="51"/>
  <c r="A123" i="51"/>
  <c r="A138" i="51"/>
  <c r="C121" i="51"/>
  <c r="F111" i="51"/>
  <c r="E111" i="51"/>
  <c r="A134" i="51"/>
  <c r="A111" i="51"/>
  <c r="F96" i="51"/>
  <c r="E96" i="51"/>
  <c r="B96" i="51"/>
  <c r="A106" i="51"/>
  <c r="C109" i="51"/>
  <c r="A115" i="51"/>
  <c r="C101" i="51"/>
  <c r="A96" i="51"/>
  <c r="C96" i="51"/>
  <c r="A112" i="51"/>
  <c r="E97" i="51"/>
  <c r="B97" i="51"/>
  <c r="F97" i="51"/>
  <c r="A108" i="51"/>
  <c r="C111" i="51"/>
  <c r="A128" i="51"/>
  <c r="F105" i="51"/>
  <c r="E105" i="51"/>
  <c r="A122" i="51"/>
  <c r="F99" i="51"/>
  <c r="E99" i="51"/>
  <c r="A114" i="51"/>
  <c r="C100" i="51"/>
  <c r="F106" i="51"/>
  <c r="E106" i="51"/>
  <c r="A129" i="51"/>
  <c r="F102" i="51"/>
  <c r="E102" i="51"/>
  <c r="A125" i="51"/>
  <c r="A131" i="51"/>
  <c r="E108" i="51"/>
  <c r="F108" i="51"/>
  <c r="A119" i="51"/>
  <c r="C105" i="51"/>
  <c r="A127" i="51"/>
  <c r="F104" i="51"/>
  <c r="E104" i="51"/>
  <c r="A132" i="51"/>
  <c r="F109" i="51"/>
  <c r="E109" i="51"/>
  <c r="C113" i="51"/>
  <c r="A110" i="51"/>
  <c r="C110" i="51"/>
  <c r="A107" i="51"/>
  <c r="F101" i="51"/>
  <c r="E101" i="51"/>
  <c r="I74" i="51"/>
  <c r="A85" i="51"/>
  <c r="A74" i="51"/>
  <c r="A81" i="51"/>
  <c r="A86" i="51"/>
  <c r="E74" i="51"/>
  <c r="D74" i="51"/>
  <c r="A89" i="51"/>
  <c r="C74" i="51"/>
  <c r="A82" i="51"/>
  <c r="G74" i="51"/>
  <c r="A90" i="51"/>
  <c r="A88" i="51"/>
  <c r="B74" i="51"/>
  <c r="A83" i="51"/>
  <c r="F74" i="51"/>
  <c r="A87" i="51"/>
  <c r="H74" i="51"/>
  <c r="J74" i="51"/>
  <c r="A91" i="51"/>
  <c r="G76" i="51"/>
  <c r="F76" i="51"/>
  <c r="D76" i="51"/>
  <c r="C76" i="51"/>
  <c r="A76" i="51"/>
  <c r="B76" i="51"/>
  <c r="I75" i="51"/>
  <c r="J75" i="51"/>
  <c r="E75" i="51"/>
  <c r="F77" i="51"/>
  <c r="H75" i="51"/>
  <c r="G77" i="51"/>
  <c r="D77" i="51"/>
  <c r="C77" i="51"/>
  <c r="D75" i="51"/>
  <c r="B75" i="51"/>
  <c r="A75" i="51"/>
  <c r="C75" i="51"/>
  <c r="F75" i="51"/>
  <c r="G75" i="51"/>
  <c r="BY5" i="61"/>
  <c r="BY34" i="61"/>
  <c r="BY34" i="59"/>
  <c r="BY5" i="63"/>
  <c r="BY5" i="59"/>
  <c r="BY34" i="63"/>
  <c r="BY34" i="57"/>
  <c r="BY5" i="57"/>
  <c r="BY34" i="55"/>
  <c r="BY5" i="55"/>
  <c r="EY3" i="61"/>
  <c r="EY3" i="63"/>
  <c r="EY3" i="57"/>
  <c r="EY3" i="55"/>
  <c r="EY3" i="59"/>
  <c r="B39" i="73"/>
  <c r="A53" i="79"/>
  <c r="F18" i="61"/>
  <c r="F18" i="63"/>
  <c r="F18" i="59"/>
  <c r="F18" i="57"/>
  <c r="Z15" i="81"/>
  <c r="A48" i="79"/>
  <c r="CA35" i="63"/>
  <c r="CA34" i="61"/>
  <c r="CA34" i="63"/>
  <c r="CA35" i="61"/>
  <c r="CA35" i="59"/>
  <c r="CA34" i="59"/>
  <c r="CA35" i="55"/>
  <c r="CA34" i="57"/>
  <c r="CA34" i="55"/>
  <c r="CA35" i="57"/>
  <c r="DN2" i="61"/>
  <c r="DN2" i="63"/>
  <c r="DN2" i="57"/>
  <c r="DN2" i="59"/>
  <c r="DN2" i="55"/>
  <c r="K61" i="32"/>
  <c r="B32" i="73"/>
  <c r="AL19" i="32"/>
  <c r="Q67" i="50"/>
  <c r="Q67" i="63"/>
  <c r="Q67" i="61"/>
  <c r="Q67" i="59"/>
  <c r="Q67" i="57"/>
  <c r="Q67" i="55"/>
  <c r="B27" i="32"/>
  <c r="DP2" i="61"/>
  <c r="DP2" i="63"/>
  <c r="DP2" i="57"/>
  <c r="DP2" i="59"/>
  <c r="DP2" i="55"/>
  <c r="C80" i="53"/>
  <c r="AT9" i="32" s="1"/>
  <c r="BY35" i="59"/>
  <c r="BY6" i="63"/>
  <c r="BY35" i="63"/>
  <c r="BY6" i="61"/>
  <c r="BY35" i="61"/>
  <c r="BY35" i="57"/>
  <c r="BY6" i="55"/>
  <c r="BY6" i="59"/>
  <c r="BY35" i="55"/>
  <c r="BY6" i="57"/>
  <c r="M10" i="61"/>
  <c r="N10" i="61" s="1"/>
  <c r="BY13" i="61"/>
  <c r="M10" i="63"/>
  <c r="N10" i="63" s="1"/>
  <c r="M10" i="57"/>
  <c r="N10" i="57" s="1"/>
  <c r="M10" i="59"/>
  <c r="BY13" i="59"/>
  <c r="BY13" i="63"/>
  <c r="BY13" i="57"/>
  <c r="M10" i="55"/>
  <c r="N10" i="55" s="1"/>
  <c r="BY13" i="55"/>
  <c r="B33" i="32"/>
  <c r="C27" i="96"/>
  <c r="E8" i="32"/>
  <c r="D80" i="53"/>
  <c r="AW2" i="32" s="1"/>
  <c r="AX2" i="32" s="1"/>
  <c r="D79" i="53"/>
  <c r="D77" i="53"/>
  <c r="FA5" i="61"/>
  <c r="FA5" i="63"/>
  <c r="FA5" i="59"/>
  <c r="FA5" i="57"/>
  <c r="FA5" i="55"/>
  <c r="F14" i="61"/>
  <c r="F14" i="63"/>
  <c r="F14" i="57"/>
  <c r="F14" i="59"/>
  <c r="EY2" i="63"/>
  <c r="EY2" i="59"/>
  <c r="EY2" i="61"/>
  <c r="EY2" i="57"/>
  <c r="EY2" i="55"/>
  <c r="C41" i="81"/>
  <c r="B13" i="32"/>
  <c r="F16" i="63"/>
  <c r="F16" i="61"/>
  <c r="F16" i="59"/>
  <c r="F16" i="57"/>
  <c r="I24" i="73"/>
  <c r="X5" i="61"/>
  <c r="X56" i="94" s="1"/>
  <c r="X5" i="59"/>
  <c r="X56" i="93" s="1"/>
  <c r="X5" i="63"/>
  <c r="X56" i="95" s="1"/>
  <c r="X5" i="57"/>
  <c r="X56" i="92" s="1"/>
  <c r="M11" i="61"/>
  <c r="N11" i="61" s="1"/>
  <c r="BY14" i="61"/>
  <c r="M11" i="63"/>
  <c r="N11" i="63" s="1"/>
  <c r="M11" i="59"/>
  <c r="BY14" i="63"/>
  <c r="M11" i="57"/>
  <c r="N11" i="57" s="1"/>
  <c r="BY14" i="59"/>
  <c r="BY14" i="57"/>
  <c r="M11" i="55"/>
  <c r="N11" i="55" s="1"/>
  <c r="BY14" i="55"/>
  <c r="C81" i="53"/>
  <c r="B21" i="32"/>
  <c r="BY32" i="63"/>
  <c r="BY3" i="61"/>
  <c r="BY32" i="61"/>
  <c r="BY32" i="59"/>
  <c r="BY3" i="59"/>
  <c r="BY3" i="63"/>
  <c r="BY32" i="55"/>
  <c r="BY3" i="57"/>
  <c r="BY32" i="57"/>
  <c r="BY3" i="55"/>
  <c r="FA2" i="63"/>
  <c r="FA2" i="61"/>
  <c r="FA2" i="59"/>
  <c r="FA2" i="57"/>
  <c r="FA2" i="55"/>
  <c r="EY4" i="61"/>
  <c r="EY4" i="63"/>
  <c r="EY4" i="59"/>
  <c r="EY4" i="57"/>
  <c r="EY4" i="55"/>
  <c r="EN4" i="61"/>
  <c r="T55" i="94" s="1"/>
  <c r="EN4" i="63"/>
  <c r="T55" i="95" s="1"/>
  <c r="EN4" i="59"/>
  <c r="T55" i="93" s="1"/>
  <c r="EN4" i="57"/>
  <c r="T55" i="92" s="1"/>
  <c r="EN4" i="55"/>
  <c r="T55" i="91" s="1"/>
  <c r="BZ35" i="63"/>
  <c r="BZ34" i="61"/>
  <c r="BZ34" i="59"/>
  <c r="BZ34" i="55"/>
  <c r="BZ35" i="59"/>
  <c r="BZ34" i="57"/>
  <c r="BZ34" i="63"/>
  <c r="BZ35" i="61"/>
  <c r="BZ35" i="57"/>
  <c r="BZ35" i="55"/>
  <c r="AF30" i="32"/>
  <c r="FA3" i="61"/>
  <c r="FA3" i="63"/>
  <c r="FA3" i="59"/>
  <c r="FA3" i="57"/>
  <c r="FA3" i="55"/>
  <c r="BZ32" i="63"/>
  <c r="BZ33" i="61"/>
  <c r="BZ33" i="59"/>
  <c r="BZ33" i="63"/>
  <c r="BZ32" i="61"/>
  <c r="BZ33" i="57"/>
  <c r="BZ32" i="59"/>
  <c r="BZ32" i="57"/>
  <c r="BZ33" i="55"/>
  <c r="BZ32" i="55"/>
  <c r="X4" i="61"/>
  <c r="X55" i="94" s="1"/>
  <c r="X4" i="63"/>
  <c r="X55" i="95" s="1"/>
  <c r="X4" i="57"/>
  <c r="X55" i="92" s="1"/>
  <c r="X4" i="59"/>
  <c r="X55" i="93" s="1"/>
  <c r="AB5" i="71"/>
  <c r="EN3" i="61"/>
  <c r="T54" i="94" s="1"/>
  <c r="EN3" i="63"/>
  <c r="T54" i="95" s="1"/>
  <c r="EN3" i="59"/>
  <c r="T54" i="93" s="1"/>
  <c r="EN3" i="57"/>
  <c r="T54" i="92" s="1"/>
  <c r="EN3" i="55"/>
  <c r="T54" i="91" s="1"/>
  <c r="BY33" i="61"/>
  <c r="BY4" i="61"/>
  <c r="BY33" i="63"/>
  <c r="BY4" i="63"/>
  <c r="BY33" i="59"/>
  <c r="BY33" i="57"/>
  <c r="BY4" i="57"/>
  <c r="BY4" i="59"/>
  <c r="BY33" i="55"/>
  <c r="BY4" i="55"/>
  <c r="FA4" i="61"/>
  <c r="FA4" i="63"/>
  <c r="FA4" i="57"/>
  <c r="FA4" i="59"/>
  <c r="FA4" i="55"/>
  <c r="F19" i="63"/>
  <c r="F19" i="61"/>
  <c r="F19" i="59"/>
  <c r="F19" i="57"/>
  <c r="F15" i="61"/>
  <c r="F15" i="63"/>
  <c r="F15" i="59"/>
  <c r="F15" i="57"/>
  <c r="AF9" i="32"/>
  <c r="DP3" i="61"/>
  <c r="DP3" i="59"/>
  <c r="DP3" i="63"/>
  <c r="DP3" i="57"/>
  <c r="DP3" i="55"/>
  <c r="FA9" i="61"/>
  <c r="FA9" i="63"/>
  <c r="FA9" i="59"/>
  <c r="FA9" i="57"/>
  <c r="FA9" i="55"/>
  <c r="FA6" i="63"/>
  <c r="FA6" i="57"/>
  <c r="FA6" i="59"/>
  <c r="FA6" i="61"/>
  <c r="FA6" i="55"/>
  <c r="X3" i="63"/>
  <c r="X54" i="95" s="1"/>
  <c r="X3" i="61"/>
  <c r="X54" i="94" s="1"/>
  <c r="X3" i="59"/>
  <c r="X54" i="93" s="1"/>
  <c r="X3" i="57"/>
  <c r="X54" i="92" s="1"/>
  <c r="B12" i="32"/>
  <c r="EN5" i="61"/>
  <c r="T56" i="94" s="1"/>
  <c r="EN5" i="59"/>
  <c r="T56" i="93" s="1"/>
  <c r="EN5" i="63"/>
  <c r="T56" i="95" s="1"/>
  <c r="EN5" i="57"/>
  <c r="T56" i="92" s="1"/>
  <c r="EN5" i="55"/>
  <c r="T56" i="91" s="1"/>
  <c r="AB41" i="61"/>
  <c r="CD17" i="61"/>
  <c r="AB41" i="59"/>
  <c r="CD17" i="59"/>
  <c r="AB41" i="63"/>
  <c r="CD17" i="63"/>
  <c r="AB41" i="55"/>
  <c r="AB41" i="57"/>
  <c r="CD17" i="57"/>
  <c r="CD17" i="55"/>
  <c r="FA7" i="61"/>
  <c r="FA7" i="63"/>
  <c r="FA7" i="59"/>
  <c r="FA7" i="57"/>
  <c r="FA7" i="55"/>
  <c r="CA33" i="59"/>
  <c r="CA33" i="63"/>
  <c r="CA32" i="61"/>
  <c r="CA33" i="57"/>
  <c r="CA32" i="63"/>
  <c r="CA32" i="59"/>
  <c r="CA33" i="61"/>
  <c r="CA33" i="55"/>
  <c r="CA32" i="55"/>
  <c r="CA32" i="57"/>
  <c r="BY15" i="63"/>
  <c r="M12" i="61"/>
  <c r="N12" i="61" s="1"/>
  <c r="BY15" i="61"/>
  <c r="M12" i="63"/>
  <c r="N12" i="63" s="1"/>
  <c r="BY15" i="59"/>
  <c r="M12" i="59"/>
  <c r="BY15" i="57"/>
  <c r="BY15" i="55"/>
  <c r="M12" i="57"/>
  <c r="N12" i="57" s="1"/>
  <c r="M12" i="55"/>
  <c r="N12" i="55" s="1"/>
  <c r="EY5" i="61"/>
  <c r="EY5" i="59"/>
  <c r="EY5" i="63"/>
  <c r="EY5" i="57"/>
  <c r="EY5" i="55"/>
  <c r="FA8" i="63"/>
  <c r="FA8" i="61"/>
  <c r="FA8" i="55"/>
  <c r="FA8" i="57"/>
  <c r="FA8" i="59"/>
  <c r="F17" i="59"/>
  <c r="F17" i="63"/>
  <c r="F17" i="57"/>
  <c r="F17" i="61"/>
  <c r="AB40" i="63"/>
  <c r="CD16" i="61"/>
  <c r="CD16" i="63"/>
  <c r="AB40" i="61"/>
  <c r="CD16" i="57"/>
  <c r="CD16" i="59"/>
  <c r="AB40" i="59"/>
  <c r="AB40" i="55"/>
  <c r="AB40" i="57"/>
  <c r="CD16" i="55"/>
  <c r="F24" i="52"/>
  <c r="F62" i="52"/>
  <c r="F59" i="52"/>
  <c r="F54" i="52"/>
  <c r="F55" i="52"/>
  <c r="A7" i="79"/>
  <c r="E32" i="52"/>
  <c r="E6" i="52"/>
  <c r="E28" i="52"/>
  <c r="F12" i="52"/>
  <c r="C6" i="52"/>
  <c r="C28" i="52"/>
  <c r="A51" i="50"/>
  <c r="F19" i="79"/>
  <c r="X3" i="50"/>
  <c r="EN4" i="50"/>
  <c r="B8" i="32"/>
  <c r="B62" i="44"/>
  <c r="S10" i="79"/>
  <c r="A4" i="79"/>
  <c r="F33" i="52"/>
  <c r="E24" i="73"/>
  <c r="P4" i="81"/>
  <c r="AD8" i="81"/>
  <c r="F5" i="32"/>
  <c r="E21" i="80"/>
  <c r="D78" i="53"/>
  <c r="V6" i="96"/>
  <c r="B32" i="32"/>
  <c r="B15" i="100"/>
  <c r="F5" i="80"/>
  <c r="B8" i="100"/>
  <c r="B34" i="80"/>
  <c r="B31" i="100"/>
  <c r="B12" i="100"/>
  <c r="AL2" i="71"/>
  <c r="Q2" i="100"/>
  <c r="A51" i="79"/>
  <c r="C28" i="96"/>
  <c r="I26" i="96" s="1"/>
  <c r="E2" i="52"/>
  <c r="E56" i="52"/>
  <c r="E48" i="52"/>
  <c r="E50" i="52"/>
  <c r="C35" i="81"/>
  <c r="C47" i="81"/>
  <c r="J175" i="71"/>
  <c r="E5" i="52"/>
  <c r="F14" i="79"/>
  <c r="E52" i="52"/>
  <c r="E34" i="52"/>
  <c r="E21" i="52"/>
  <c r="E22" i="52"/>
  <c r="M570" i="53"/>
  <c r="B570" i="53" s="1"/>
  <c r="E24" i="52"/>
  <c r="E12" i="52"/>
  <c r="F18" i="79"/>
  <c r="E17" i="52"/>
  <c r="E61" i="52"/>
  <c r="E58" i="52"/>
  <c r="E41" i="52"/>
  <c r="E54" i="52"/>
  <c r="E43" i="52"/>
  <c r="E30" i="52"/>
  <c r="E7" i="52"/>
  <c r="E64" i="52"/>
  <c r="E38" i="52"/>
  <c r="E42" i="52"/>
  <c r="E11" i="52"/>
  <c r="E29" i="52"/>
  <c r="E33" i="52"/>
  <c r="C24" i="96"/>
  <c r="E20" i="52"/>
  <c r="E37" i="52"/>
  <c r="E25" i="52"/>
  <c r="E47" i="52"/>
  <c r="E15" i="52"/>
  <c r="E14" i="52"/>
  <c r="A11" i="79"/>
  <c r="E63" i="52"/>
  <c r="E60" i="52"/>
  <c r="E51" i="52"/>
  <c r="E66" i="52"/>
  <c r="E45" i="52"/>
  <c r="E27" i="52"/>
  <c r="E46" i="52"/>
  <c r="E23" i="52"/>
  <c r="C48" i="81"/>
  <c r="E36" i="52"/>
  <c r="E40" i="52"/>
  <c r="A32" i="79"/>
  <c r="U4" i="79"/>
  <c r="A31" i="50"/>
  <c r="CA32" i="50"/>
  <c r="A9" i="79"/>
  <c r="U13" i="79"/>
  <c r="A19" i="79"/>
  <c r="FA4" i="50"/>
  <c r="BZ35" i="50"/>
  <c r="C59" i="52"/>
  <c r="V12" i="79"/>
  <c r="FA2" i="50"/>
  <c r="A45" i="79"/>
  <c r="A42" i="79"/>
  <c r="U7" i="79"/>
  <c r="V40" i="79"/>
  <c r="A24" i="79"/>
  <c r="A45" i="50"/>
  <c r="R4" i="79"/>
  <c r="R8" i="79"/>
  <c r="B91" i="53"/>
  <c r="V23" i="96" s="1"/>
  <c r="EY2" i="50"/>
  <c r="EN5" i="50"/>
  <c r="X5" i="79"/>
  <c r="Q28" i="79"/>
  <c r="F18" i="50"/>
  <c r="Q18" i="79"/>
  <c r="R30" i="79"/>
  <c r="Q53" i="79"/>
  <c r="FA7" i="50"/>
  <c r="X4" i="79"/>
  <c r="BY6" i="50"/>
  <c r="A37" i="79"/>
  <c r="A16" i="79"/>
  <c r="A29" i="79"/>
  <c r="Q48" i="79"/>
  <c r="BY3" i="79"/>
  <c r="BY34" i="50"/>
  <c r="F15" i="50"/>
  <c r="A33" i="50"/>
  <c r="BY33" i="50"/>
  <c r="V8" i="79"/>
  <c r="C21" i="81"/>
  <c r="AB40" i="50"/>
  <c r="CD16" i="50"/>
  <c r="AB41" i="50"/>
  <c r="CD17" i="50"/>
  <c r="C21" i="96"/>
  <c r="B26" i="32"/>
  <c r="H68" i="32"/>
  <c r="A6" i="79"/>
  <c r="AA30" i="81"/>
  <c r="AC2" i="21"/>
  <c r="Q43" i="79"/>
  <c r="H71" i="32"/>
  <c r="B93" i="53"/>
  <c r="V25" i="96" s="1"/>
  <c r="AA14" i="81"/>
  <c r="AA35" i="81"/>
  <c r="AH19" i="81"/>
  <c r="AD14" i="32"/>
  <c r="U17" i="79"/>
  <c r="R44" i="79"/>
  <c r="X5" i="50"/>
  <c r="AF25" i="32"/>
  <c r="AC8" i="52"/>
  <c r="U25" i="79"/>
  <c r="AM14" i="32"/>
  <c r="Q57" i="79"/>
  <c r="B28" i="73"/>
  <c r="U39" i="79"/>
  <c r="Y19" i="81"/>
  <c r="R22" i="79"/>
  <c r="AC4" i="52"/>
  <c r="C8" i="96"/>
  <c r="Q35" i="79"/>
  <c r="C10" i="96"/>
  <c r="V25" i="79"/>
  <c r="E15" i="80"/>
  <c r="U35" i="79"/>
  <c r="R40" i="79"/>
  <c r="V35" i="79"/>
  <c r="Q2" i="96"/>
  <c r="A28" i="79"/>
  <c r="R17" i="79"/>
  <c r="AK2" i="81"/>
  <c r="K46" i="81"/>
  <c r="S22" i="73"/>
  <c r="R35" i="79"/>
  <c r="B24" i="32"/>
  <c r="F43" i="52"/>
  <c r="M569" i="53"/>
  <c r="B569" i="53" s="1"/>
  <c r="F46" i="52"/>
  <c r="V7" i="96"/>
  <c r="C40" i="52"/>
  <c r="AC3" i="52"/>
  <c r="Q2" i="80"/>
  <c r="U12" i="79"/>
  <c r="R38" i="79"/>
  <c r="A50" i="79"/>
  <c r="Q10" i="79"/>
  <c r="AP2" i="32"/>
  <c r="BZ34" i="50"/>
  <c r="C43" i="52"/>
  <c r="Q28" i="97"/>
  <c r="AT2" i="44"/>
  <c r="H67" i="32"/>
  <c r="U26" i="79"/>
  <c r="A12" i="79"/>
  <c r="C62" i="52"/>
  <c r="C42" i="52"/>
  <c r="D81" i="53"/>
  <c r="Q30" i="79"/>
  <c r="BQ2" i="79"/>
  <c r="C7" i="52"/>
  <c r="C61" i="52"/>
  <c r="DN3" i="79"/>
  <c r="F41" i="52"/>
  <c r="A43" i="79"/>
  <c r="C31" i="52"/>
  <c r="F34" i="52"/>
  <c r="C44" i="52"/>
  <c r="C30" i="52"/>
  <c r="V26" i="79"/>
  <c r="C15" i="52"/>
  <c r="Q31" i="79"/>
  <c r="C17" i="52"/>
  <c r="C63" i="52"/>
  <c r="C55" i="52"/>
  <c r="F14" i="50"/>
  <c r="F15" i="79"/>
  <c r="V8" i="81"/>
  <c r="C43" i="81"/>
  <c r="F57" i="52"/>
  <c r="F45" i="52"/>
  <c r="X3" i="79"/>
  <c r="A38" i="79"/>
  <c r="B5" i="32"/>
  <c r="F20" i="52"/>
  <c r="F64" i="52"/>
  <c r="B14" i="32"/>
  <c r="AL8" i="81"/>
  <c r="F40" i="52"/>
  <c r="F7" i="52"/>
  <c r="DP2" i="79"/>
  <c r="B30" i="32"/>
  <c r="R12" i="79"/>
  <c r="F36" i="52"/>
  <c r="F17" i="52"/>
  <c r="V16" i="96"/>
  <c r="W16" i="96" s="1"/>
  <c r="A30" i="79"/>
  <c r="F13" i="52"/>
  <c r="Q17" i="79"/>
  <c r="F8" i="52"/>
  <c r="F47" i="52"/>
  <c r="A5" i="79"/>
  <c r="Q58" i="79"/>
  <c r="F15" i="52"/>
  <c r="F39" i="52"/>
  <c r="U41" i="79"/>
  <c r="S6" i="79"/>
  <c r="V22" i="79"/>
  <c r="R20" i="79"/>
  <c r="B92" i="21"/>
  <c r="Q14" i="79"/>
  <c r="R25" i="79"/>
  <c r="U37" i="79"/>
  <c r="FA8" i="50"/>
  <c r="J5" i="32"/>
  <c r="EY3" i="50"/>
  <c r="F66" i="52"/>
  <c r="Q38" i="79"/>
  <c r="Q21" i="79"/>
  <c r="A44" i="50"/>
  <c r="Q46" i="79"/>
  <c r="F9" i="52"/>
  <c r="V30" i="79"/>
  <c r="Q7" i="79"/>
  <c r="B25" i="32"/>
  <c r="M568" i="53"/>
  <c r="B568" i="53" s="1"/>
  <c r="Q13" i="79"/>
  <c r="A52" i="50"/>
  <c r="FA5" i="50"/>
  <c r="BY13" i="50"/>
  <c r="A15" i="79"/>
  <c r="A14" i="79"/>
  <c r="A49" i="79"/>
  <c r="R8" i="81"/>
  <c r="H69" i="32"/>
  <c r="F61" i="52"/>
  <c r="F22" i="52"/>
  <c r="F2" i="52"/>
  <c r="F65" i="52"/>
  <c r="S24" i="32"/>
  <c r="U34" i="79"/>
  <c r="S13" i="79"/>
  <c r="V10" i="79"/>
  <c r="X4" i="50"/>
  <c r="BY35" i="50"/>
  <c r="AC8" i="32"/>
  <c r="F11" i="52"/>
  <c r="B7" i="32"/>
  <c r="BY5" i="50"/>
  <c r="X13" i="81"/>
  <c r="BY32" i="50"/>
  <c r="V5" i="96"/>
  <c r="F19" i="52"/>
  <c r="F29" i="52"/>
  <c r="F53" i="52"/>
  <c r="Q52" i="79"/>
  <c r="A34" i="50"/>
  <c r="U38" i="79"/>
  <c r="V17" i="79"/>
  <c r="C77" i="53"/>
  <c r="V39" i="79"/>
  <c r="F23" i="52"/>
  <c r="C78" i="53"/>
  <c r="Q26" i="79"/>
  <c r="V37" i="81"/>
  <c r="EN3" i="50"/>
  <c r="F18" i="52"/>
  <c r="F60" i="52"/>
  <c r="F32" i="52"/>
  <c r="R43" i="79"/>
  <c r="CA33" i="50"/>
  <c r="B8" i="21"/>
  <c r="R18" i="79"/>
  <c r="V36" i="79"/>
  <c r="R31" i="79"/>
  <c r="M12" i="50"/>
  <c r="S12" i="79"/>
  <c r="V43" i="81"/>
  <c r="Q34" i="79"/>
  <c r="BY5" i="79"/>
  <c r="R13" i="79"/>
  <c r="S7" i="32"/>
  <c r="F49" i="52"/>
  <c r="F14" i="52"/>
  <c r="F52" i="52"/>
  <c r="A47" i="79"/>
  <c r="BY6" i="79"/>
  <c r="V38" i="79"/>
  <c r="C37" i="81"/>
  <c r="M11" i="50"/>
  <c r="F56" i="52"/>
  <c r="BY3" i="50"/>
  <c r="AC24" i="32"/>
  <c r="AC5" i="52"/>
  <c r="N5" i="32"/>
  <c r="F3" i="52"/>
  <c r="F10" i="52"/>
  <c r="F26" i="52"/>
  <c r="R5" i="79"/>
  <c r="B92" i="53"/>
  <c r="V24" i="96" s="1"/>
  <c r="T4" i="79"/>
  <c r="U6" i="79"/>
  <c r="B28" i="32"/>
  <c r="U30" i="79"/>
  <c r="C9" i="52"/>
  <c r="C27" i="81"/>
  <c r="A10" i="79"/>
  <c r="Q29" i="79"/>
  <c r="U11" i="79"/>
  <c r="A36" i="79"/>
  <c r="F21" i="52"/>
  <c r="E18" i="52"/>
  <c r="A39" i="50"/>
  <c r="AE10" i="32"/>
  <c r="C18" i="52"/>
  <c r="Q8" i="79"/>
  <c r="S8" i="79"/>
  <c r="K28" i="81"/>
  <c r="C19" i="52"/>
  <c r="A46" i="79"/>
  <c r="A2" i="32"/>
  <c r="D13" i="71" s="1"/>
  <c r="Z8" i="81"/>
  <c r="F42" i="52"/>
  <c r="F63" i="52"/>
  <c r="F35" i="52"/>
  <c r="V11" i="79"/>
  <c r="F44" i="52"/>
  <c r="C66" i="52"/>
  <c r="R16" i="79"/>
  <c r="C56" i="52"/>
  <c r="A15" i="50"/>
  <c r="C47" i="52"/>
  <c r="AH8" i="81"/>
  <c r="R39" i="79"/>
  <c r="F27" i="52"/>
  <c r="C10" i="52"/>
  <c r="H61" i="32"/>
  <c r="F37" i="52"/>
  <c r="F5" i="52"/>
  <c r="F16" i="52"/>
  <c r="Q11" i="79"/>
  <c r="Q55" i="79"/>
  <c r="E65" i="52"/>
  <c r="S9" i="79"/>
  <c r="Q9" i="79"/>
  <c r="E53" i="52"/>
  <c r="BY16" i="79"/>
  <c r="BY15" i="50"/>
  <c r="E8" i="52"/>
  <c r="BZ32" i="50"/>
  <c r="E31" i="52"/>
  <c r="E13" i="52"/>
  <c r="BZ33" i="50"/>
  <c r="E39" i="52"/>
  <c r="E44" i="52"/>
  <c r="E55" i="52"/>
  <c r="E4" i="52"/>
  <c r="V15" i="79"/>
  <c r="B14" i="81"/>
  <c r="D14" i="81" s="1"/>
  <c r="C11" i="81"/>
  <c r="BY14" i="50"/>
  <c r="Q33" i="79"/>
  <c r="AT15" i="32"/>
  <c r="R9" i="79"/>
  <c r="E57" i="52"/>
  <c r="AC2" i="52"/>
  <c r="U15" i="79"/>
  <c r="AO31" i="32"/>
  <c r="AF48" i="81"/>
  <c r="R21" i="79"/>
  <c r="Q6" i="79"/>
  <c r="V16" i="79"/>
  <c r="U16" i="79"/>
  <c r="CA35" i="50"/>
  <c r="H66" i="32"/>
  <c r="CA34" i="50"/>
  <c r="V34" i="79"/>
  <c r="V37" i="79"/>
  <c r="S11" i="79"/>
  <c r="EY4" i="50"/>
  <c r="BY15" i="79"/>
  <c r="R42" i="79"/>
  <c r="F19" i="50"/>
  <c r="FA9" i="50"/>
  <c r="A16" i="50"/>
  <c r="A24" i="50"/>
  <c r="A44" i="79"/>
  <c r="A20" i="79"/>
  <c r="A40" i="79"/>
  <c r="R46" i="79"/>
  <c r="Q40" i="79"/>
  <c r="FA6" i="50"/>
  <c r="S16" i="79"/>
  <c r="C51" i="52"/>
  <c r="C12" i="96"/>
  <c r="E19" i="80"/>
  <c r="A22" i="79"/>
  <c r="U22" i="79"/>
  <c r="AC7" i="52"/>
  <c r="U9" i="79"/>
  <c r="V41" i="79"/>
  <c r="R27" i="79"/>
  <c r="C79" i="53"/>
  <c r="DN4" i="79"/>
  <c r="R19" i="79"/>
  <c r="DP3" i="50"/>
  <c r="V28" i="79"/>
  <c r="A26" i="79"/>
  <c r="T5" i="79"/>
  <c r="Q32" i="79"/>
  <c r="Q59" i="79"/>
  <c r="EY5" i="50"/>
  <c r="DP3" i="79"/>
  <c r="A23" i="79"/>
  <c r="V9" i="79"/>
  <c r="R33" i="79"/>
  <c r="U28" i="79"/>
  <c r="A41" i="79"/>
  <c r="C35" i="52"/>
  <c r="H70" i="32"/>
  <c r="E3" i="52"/>
  <c r="E49" i="52"/>
  <c r="S7" i="79"/>
  <c r="E19" i="52"/>
  <c r="E16" i="52"/>
  <c r="E26" i="52"/>
  <c r="E59" i="52"/>
  <c r="C30" i="96"/>
  <c r="C8" i="52"/>
  <c r="F51" i="52"/>
  <c r="F30" i="52"/>
  <c r="U36" i="79"/>
  <c r="FA3" i="50"/>
  <c r="B11" i="32"/>
  <c r="R14" i="79"/>
  <c r="C54" i="52"/>
  <c r="C46" i="52"/>
  <c r="C29" i="52"/>
  <c r="R41" i="79"/>
  <c r="A8" i="79"/>
  <c r="C19" i="81"/>
  <c r="U43" i="79"/>
  <c r="U40" i="79"/>
  <c r="R45" i="79"/>
  <c r="B30" i="73"/>
  <c r="Q25" i="79"/>
  <c r="C32" i="52"/>
  <c r="C16" i="52"/>
  <c r="V33" i="79"/>
  <c r="F48" i="52"/>
  <c r="Q54" i="79"/>
  <c r="U32" i="79"/>
  <c r="Q50" i="79"/>
  <c r="F25" i="52"/>
  <c r="Q44" i="79"/>
  <c r="V13" i="79"/>
  <c r="V43" i="79"/>
  <c r="V6" i="79"/>
  <c r="R37" i="79"/>
  <c r="Q51" i="79"/>
  <c r="F38" i="52"/>
  <c r="Q27" i="79"/>
  <c r="R48" i="79"/>
  <c r="Q61" i="79"/>
  <c r="V7" i="79"/>
  <c r="C45" i="81"/>
  <c r="Q5" i="79"/>
  <c r="S5" i="79"/>
  <c r="C25" i="81"/>
  <c r="BY13" i="79"/>
  <c r="A3" i="79"/>
  <c r="BY4" i="50"/>
  <c r="BY4" i="79"/>
  <c r="C23" i="81"/>
  <c r="AR19" i="32"/>
  <c r="H65" i="32"/>
  <c r="A35" i="79"/>
  <c r="Q15" i="79"/>
  <c r="V4" i="79"/>
  <c r="R6" i="79"/>
  <c r="U10" i="79"/>
  <c r="B26" i="73"/>
  <c r="C15" i="81"/>
  <c r="B35" i="73"/>
  <c r="U33" i="79"/>
  <c r="U42" i="79"/>
  <c r="AM24" i="81"/>
  <c r="M10" i="50"/>
  <c r="C13" i="81"/>
  <c r="BY14" i="79"/>
  <c r="A39" i="79"/>
  <c r="C12" i="52"/>
  <c r="C21" i="52"/>
  <c r="C26" i="52"/>
  <c r="C38" i="52"/>
  <c r="C14" i="52"/>
  <c r="C11" i="52"/>
  <c r="C25" i="52"/>
  <c r="C3" i="52"/>
  <c r="C27" i="52"/>
  <c r="C5" i="52"/>
  <c r="C2" i="52"/>
  <c r="C41" i="52"/>
  <c r="C24" i="52"/>
  <c r="C22" i="52"/>
  <c r="C53" i="52"/>
  <c r="C4" i="52"/>
  <c r="C52" i="52"/>
  <c r="DN2" i="79"/>
  <c r="C58" i="52"/>
  <c r="C13" i="52"/>
  <c r="C37" i="52"/>
  <c r="DN2" i="50"/>
  <c r="C60" i="52"/>
  <c r="C23" i="52"/>
  <c r="C39" i="52"/>
  <c r="C22" i="96"/>
  <c r="Q60" i="79"/>
  <c r="R15" i="79"/>
  <c r="R47" i="79"/>
  <c r="A21" i="79"/>
  <c r="E35" i="52"/>
  <c r="E10" i="52"/>
  <c r="AC1" i="52"/>
  <c r="Q12" i="79"/>
  <c r="BR2" i="79"/>
  <c r="V14" i="79"/>
  <c r="U14" i="79"/>
  <c r="C82" i="53"/>
  <c r="A27" i="79"/>
  <c r="V42" i="79"/>
  <c r="A33" i="79"/>
  <c r="V20" i="79"/>
  <c r="U20" i="79"/>
  <c r="X29" i="81"/>
  <c r="AG24" i="81"/>
  <c r="M24" i="73"/>
  <c r="R5" i="32"/>
  <c r="V5" i="32"/>
  <c r="F58" i="52"/>
  <c r="F50" i="52"/>
  <c r="B72" i="21"/>
  <c r="F17" i="50"/>
  <c r="B15" i="32"/>
  <c r="C57" i="52"/>
  <c r="C36" i="52"/>
  <c r="C64" i="52"/>
  <c r="C48" i="52"/>
  <c r="C65" i="52"/>
  <c r="C50" i="52"/>
  <c r="C33" i="52"/>
  <c r="C34" i="52"/>
  <c r="C49" i="52"/>
  <c r="C14" i="81"/>
  <c r="E14" i="81" s="1"/>
  <c r="F16" i="50"/>
  <c r="F17" i="79"/>
  <c r="C39" i="81"/>
  <c r="I36" i="81" s="1"/>
  <c r="DP2" i="50"/>
  <c r="S18" i="79"/>
  <c r="Q23" i="79"/>
  <c r="A25" i="79"/>
  <c r="U8" i="79"/>
  <c r="A34" i="79"/>
  <c r="U18" i="79"/>
  <c r="Q36" i="79"/>
  <c r="R23" i="79"/>
  <c r="V18" i="79"/>
  <c r="S17" i="79"/>
  <c r="T6" i="79"/>
  <c r="R10" i="79"/>
  <c r="Q22" i="79"/>
  <c r="Q16" i="79"/>
  <c r="U5" i="79"/>
  <c r="V5" i="79"/>
  <c r="R7" i="79"/>
  <c r="R36" i="79"/>
  <c r="U31" i="79"/>
  <c r="Q49" i="79"/>
  <c r="V31" i="79"/>
  <c r="S14" i="79"/>
  <c r="Q19" i="79"/>
  <c r="S15" i="79"/>
  <c r="Q20" i="79"/>
  <c r="S4" i="79"/>
  <c r="B39" i="81"/>
  <c r="Q4" i="79"/>
  <c r="AK35" i="73"/>
  <c r="V21" i="79"/>
  <c r="R26" i="79"/>
  <c r="U21" i="79"/>
  <c r="Q39" i="79"/>
  <c r="Q37" i="79"/>
  <c r="V19" i="79"/>
  <c r="R24" i="79"/>
  <c r="U19" i="79"/>
  <c r="S19" i="79"/>
  <c r="R11" i="79"/>
  <c r="Q24" i="79"/>
  <c r="T7" i="79"/>
  <c r="AT9" i="93" l="1"/>
  <c r="AT8" i="94"/>
  <c r="AY2" i="94" s="1"/>
  <c r="AW2" i="91"/>
  <c r="AT9" i="94"/>
  <c r="AW2" i="95"/>
  <c r="AT8" i="92"/>
  <c r="AY2" i="92" s="1"/>
  <c r="AT8" i="91"/>
  <c r="AY2" i="91" s="1"/>
  <c r="AW2" i="92"/>
  <c r="AX3" i="92" s="1"/>
  <c r="AT9" i="95"/>
  <c r="AT9" i="91"/>
  <c r="AT9" i="92"/>
  <c r="AT8" i="95"/>
  <c r="AY2" i="95" s="1"/>
  <c r="AW2" i="94"/>
  <c r="AW2" i="93"/>
  <c r="AT8" i="93"/>
  <c r="AY2" i="93" s="1"/>
  <c r="AT8" i="32"/>
  <c r="B20" i="93"/>
  <c r="J20" i="91"/>
  <c r="J20" i="95"/>
  <c r="P82" i="91" a="1"/>
  <c r="P82" i="91" s="1"/>
  <c r="T59" i="94"/>
  <c r="J20" i="92"/>
  <c r="B19" i="93"/>
  <c r="B19" i="95"/>
  <c r="AU9" i="94"/>
  <c r="B19" i="94"/>
  <c r="J20" i="94"/>
  <c r="B19" i="91"/>
  <c r="AU25" i="94"/>
  <c r="AU23" i="94"/>
  <c r="AU10" i="95"/>
  <c r="J20" i="93"/>
  <c r="O65" i="95" a="1"/>
  <c r="J16" i="95"/>
  <c r="B16" i="95"/>
  <c r="K54" i="95" a="1"/>
  <c r="T59" i="91"/>
  <c r="AU10" i="93"/>
  <c r="AJ43" i="94"/>
  <c r="AI43" i="94" s="1"/>
  <c r="AX3" i="95"/>
  <c r="AX2" i="95"/>
  <c r="AZ2" i="95" s="1"/>
  <c r="B20" i="95"/>
  <c r="B16" i="92"/>
  <c r="O65" i="92" a="1"/>
  <c r="K54" i="92" a="1"/>
  <c r="J16" i="92"/>
  <c r="T59" i="92"/>
  <c r="P82" i="92" a="1"/>
  <c r="P82" i="92" s="1"/>
  <c r="AV19" i="91"/>
  <c r="B18" i="91"/>
  <c r="L36" i="94" a="1"/>
  <c r="O65" i="91" a="1"/>
  <c r="K54" i="91" a="1"/>
  <c r="J16" i="91"/>
  <c r="B16" i="91"/>
  <c r="T59" i="93"/>
  <c r="P82" i="93" a="1"/>
  <c r="P82" i="93" s="1"/>
  <c r="AU19" i="95"/>
  <c r="AU19" i="91"/>
  <c r="AU19" i="94"/>
  <c r="AU19" i="92"/>
  <c r="AU19" i="93"/>
  <c r="L36" i="95" a="1"/>
  <c r="AJ43" i="91"/>
  <c r="AI43" i="91" s="1"/>
  <c r="O65" i="93" a="1"/>
  <c r="K54" i="93" a="1"/>
  <c r="J16" i="93"/>
  <c r="B16" i="93"/>
  <c r="T59" i="95"/>
  <c r="AU25" i="91"/>
  <c r="AU23" i="91"/>
  <c r="P82" i="95" a="1"/>
  <c r="P82" i="95" s="1"/>
  <c r="AV19" i="92"/>
  <c r="B18" i="92"/>
  <c r="B19" i="92"/>
  <c r="B20" i="92"/>
  <c r="AU10" i="94"/>
  <c r="P82" i="94" a="1"/>
  <c r="P82" i="94" s="1"/>
  <c r="L36" i="91" a="1"/>
  <c r="L36" i="92" a="1"/>
  <c r="AJ43" i="95"/>
  <c r="AI43" i="95" s="1"/>
  <c r="B20" i="94"/>
  <c r="AU25" i="92"/>
  <c r="AU23" i="92"/>
  <c r="AU9" i="91"/>
  <c r="L36" i="93" a="1"/>
  <c r="AU7" i="91"/>
  <c r="AB4" i="91"/>
  <c r="B9" i="91"/>
  <c r="B20" i="91"/>
  <c r="B16" i="94"/>
  <c r="O65" i="94" a="1"/>
  <c r="K54" i="94" a="1"/>
  <c r="J16" i="94"/>
  <c r="AU9" i="93"/>
  <c r="B18" i="93"/>
  <c r="AV19" i="93"/>
  <c r="B36" i="95" a="1"/>
  <c r="B36" i="95" s="1"/>
  <c r="B36" i="91" a="1"/>
  <c r="B36" i="91" s="1"/>
  <c r="B36" i="94" a="1"/>
  <c r="B36" i="94" s="1"/>
  <c r="B36" i="92" a="1"/>
  <c r="B36" i="92" s="1"/>
  <c r="B36" i="93" a="1"/>
  <c r="B36" i="93" s="1"/>
  <c r="AX3" i="94"/>
  <c r="AX2" i="94"/>
  <c r="AZ2" i="94" s="1"/>
  <c r="BA2" i="94" s="1"/>
  <c r="AX2" i="93"/>
  <c r="AZ2" i="93" s="1"/>
  <c r="BA2" i="93" s="1"/>
  <c r="AX3" i="93"/>
  <c r="AY3" i="93" s="1"/>
  <c r="AU25" i="95"/>
  <c r="AU23" i="95"/>
  <c r="AU9" i="92"/>
  <c r="B18" i="95"/>
  <c r="AV19" i="95"/>
  <c r="B9" i="92"/>
  <c r="AU7" i="92"/>
  <c r="AB4" i="92"/>
  <c r="AJ43" i="92"/>
  <c r="AI43" i="92" s="1"/>
  <c r="AU25" i="93"/>
  <c r="AU23" i="93"/>
  <c r="AU10" i="91"/>
  <c r="AU9" i="95"/>
  <c r="AB4" i="93"/>
  <c r="B9" i="93"/>
  <c r="AU7" i="93"/>
  <c r="AV19" i="94"/>
  <c r="B18" i="94"/>
  <c r="B9" i="94"/>
  <c r="AU7" i="94"/>
  <c r="AB4" i="94"/>
  <c r="AJ43" i="93"/>
  <c r="AI43" i="93" s="1"/>
  <c r="AU10" i="92"/>
  <c r="AB29" i="93"/>
  <c r="L38" i="92" a="1"/>
  <c r="AB29" i="94"/>
  <c r="AB29" i="95"/>
  <c r="L38" i="91" a="1"/>
  <c r="AB29" i="92"/>
  <c r="AB29" i="91"/>
  <c r="L38" i="95" a="1"/>
  <c r="L38" i="94" a="1"/>
  <c r="L38" i="93" a="1"/>
  <c r="AU7" i="95"/>
  <c r="AB4" i="95"/>
  <c r="B9" i="95"/>
  <c r="AX3" i="91"/>
  <c r="AX2" i="91"/>
  <c r="AZ2" i="91" s="1"/>
  <c r="B36" i="32" a="1"/>
  <c r="B36" i="32" s="1"/>
  <c r="L36" i="32" a="1"/>
  <c r="G7" i="52"/>
  <c r="AJ43" i="32"/>
  <c r="AI43" i="32" s="1"/>
  <c r="R1" i="50"/>
  <c r="R1" i="57"/>
  <c r="R1" i="59"/>
  <c r="R1" i="61"/>
  <c r="R1" i="55"/>
  <c r="R1" i="63"/>
  <c r="AG42" i="73"/>
  <c r="AU23" i="32"/>
  <c r="AU17" i="32" s="1"/>
  <c r="AU9" i="32"/>
  <c r="AU19" i="32"/>
  <c r="AG43" i="73"/>
  <c r="AG44" i="73"/>
  <c r="AX3" i="32"/>
  <c r="P82" i="32" a="1"/>
  <c r="P82" i="32" s="1"/>
  <c r="B20" i="32"/>
  <c r="L38" i="32" a="1"/>
  <c r="K54" i="32" a="1"/>
  <c r="E41" i="73"/>
  <c r="E42" i="73"/>
  <c r="AL32" i="73"/>
  <c r="AC34" i="73"/>
  <c r="AL34" i="73" s="1"/>
  <c r="B16" i="32"/>
  <c r="AF95" i="104"/>
  <c r="AF59" i="104"/>
  <c r="AF167" i="104"/>
  <c r="AF131" i="104"/>
  <c r="AF23" i="104"/>
  <c r="AF203" i="104"/>
  <c r="V95" i="104"/>
  <c r="V59" i="104"/>
  <c r="V131" i="104"/>
  <c r="V203" i="104"/>
  <c r="V167" i="104"/>
  <c r="V23" i="104"/>
  <c r="G20" i="52"/>
  <c r="G45" i="52"/>
  <c r="G47" i="52"/>
  <c r="G28" i="52"/>
  <c r="G6" i="52"/>
  <c r="G62" i="52"/>
  <c r="D34" i="52"/>
  <c r="G34" i="52"/>
  <c r="D11" i="52"/>
  <c r="G11" i="52"/>
  <c r="D35" i="52"/>
  <c r="G35" i="52"/>
  <c r="D40" i="52"/>
  <c r="G40" i="52"/>
  <c r="D52" i="52"/>
  <c r="G52" i="52"/>
  <c r="D8" i="52"/>
  <c r="G8" i="52"/>
  <c r="D63" i="52"/>
  <c r="G63" i="52"/>
  <c r="D49" i="52"/>
  <c r="G49" i="52"/>
  <c r="D10" i="52"/>
  <c r="G10" i="52"/>
  <c r="D50" i="52"/>
  <c r="G50" i="52"/>
  <c r="D4" i="52"/>
  <c r="G4" i="52"/>
  <c r="D38" i="52"/>
  <c r="G38" i="52"/>
  <c r="D17" i="52"/>
  <c r="G17" i="52"/>
  <c r="D61" i="52"/>
  <c r="G61" i="52"/>
  <c r="D43" i="52"/>
  <c r="G43" i="52"/>
  <c r="D58" i="52"/>
  <c r="G58" i="52"/>
  <c r="D55" i="52"/>
  <c r="G55" i="52"/>
  <c r="D33" i="52"/>
  <c r="G33" i="52"/>
  <c r="D65" i="52"/>
  <c r="G65" i="52"/>
  <c r="D26" i="52"/>
  <c r="G26" i="52"/>
  <c r="D51" i="52"/>
  <c r="G51" i="52"/>
  <c r="D14" i="52"/>
  <c r="G14" i="52"/>
  <c r="D53" i="52"/>
  <c r="G53" i="52"/>
  <c r="D7" i="52"/>
  <c r="D48" i="52"/>
  <c r="G48" i="52"/>
  <c r="D22" i="52"/>
  <c r="G22" i="52"/>
  <c r="D21" i="52"/>
  <c r="G21" i="52"/>
  <c r="D29" i="52"/>
  <c r="G29" i="52"/>
  <c r="D19" i="52"/>
  <c r="G19" i="52"/>
  <c r="D15" i="52"/>
  <c r="G15" i="52"/>
  <c r="D12" i="52"/>
  <c r="G12" i="52"/>
  <c r="D56" i="52"/>
  <c r="G56" i="52"/>
  <c r="D24" i="52"/>
  <c r="G24" i="52"/>
  <c r="D36" i="52"/>
  <c r="G36" i="52"/>
  <c r="D25" i="52"/>
  <c r="G25" i="52"/>
  <c r="D64" i="52"/>
  <c r="G64" i="52"/>
  <c r="D23" i="52"/>
  <c r="G23" i="52"/>
  <c r="D16" i="52"/>
  <c r="G16" i="52"/>
  <c r="D57" i="52"/>
  <c r="G57" i="52"/>
  <c r="D60" i="52"/>
  <c r="G60" i="52"/>
  <c r="D2" i="52"/>
  <c r="G2" i="52"/>
  <c r="D32" i="52"/>
  <c r="G32" i="52"/>
  <c r="D66" i="52"/>
  <c r="G66" i="52"/>
  <c r="D44" i="52"/>
  <c r="G44" i="52"/>
  <c r="D42" i="52"/>
  <c r="G42" i="52"/>
  <c r="D59" i="52"/>
  <c r="G59" i="52"/>
  <c r="D5" i="52"/>
  <c r="G5" i="52"/>
  <c r="D18" i="52"/>
  <c r="G18" i="52"/>
  <c r="D9" i="52"/>
  <c r="G9" i="52"/>
  <c r="D39" i="52"/>
  <c r="G39" i="52"/>
  <c r="D41" i="52"/>
  <c r="G41" i="52"/>
  <c r="D54" i="52"/>
  <c r="G54" i="52"/>
  <c r="D30" i="52"/>
  <c r="G30" i="52"/>
  <c r="D37" i="52"/>
  <c r="G37" i="52"/>
  <c r="D27" i="52"/>
  <c r="G27" i="52"/>
  <c r="D31" i="52"/>
  <c r="G31" i="52"/>
  <c r="D46" i="52"/>
  <c r="G46" i="52"/>
  <c r="D13" i="52"/>
  <c r="G13" i="52"/>
  <c r="D3" i="52"/>
  <c r="G3" i="52"/>
  <c r="X54" i="32" a="1"/>
  <c r="X54" i="32" s="1"/>
  <c r="W23" i="99"/>
  <c r="W95" i="99"/>
  <c r="AG95" i="99"/>
  <c r="AG23" i="99"/>
  <c r="V1" i="55"/>
  <c r="V1" i="57"/>
  <c r="V1" i="59"/>
  <c r="V1" i="63"/>
  <c r="V1" i="61"/>
  <c r="N11" i="50"/>
  <c r="N11" i="59"/>
  <c r="N12" i="50"/>
  <c r="N12" i="59"/>
  <c r="N10" i="50"/>
  <c r="N10" i="59"/>
  <c r="D28" i="52"/>
  <c r="D6" i="52"/>
  <c r="J16" i="32"/>
  <c r="I42" i="73"/>
  <c r="D62" i="52"/>
  <c r="C33" i="81"/>
  <c r="C29" i="81"/>
  <c r="B19" i="32"/>
  <c r="C31" i="81"/>
  <c r="W3" i="96"/>
  <c r="U9" i="96" s="1"/>
  <c r="B18" i="32"/>
  <c r="S27" i="81"/>
  <c r="AV19" i="32"/>
  <c r="V1" i="50"/>
  <c r="T54" i="32" a="1"/>
  <c r="T54" i="32" s="1"/>
  <c r="B37" i="81"/>
  <c r="AG59" i="99"/>
  <c r="B11" i="81"/>
  <c r="D11" i="81" s="1"/>
  <c r="AG131" i="99"/>
  <c r="W131" i="99"/>
  <c r="W167" i="99"/>
  <c r="K34" i="81"/>
  <c r="J20" i="32"/>
  <c r="W59" i="99"/>
  <c r="C34" i="81"/>
  <c r="W203" i="99"/>
  <c r="AG203" i="99"/>
  <c r="AG167" i="99"/>
  <c r="N18" i="81"/>
  <c r="AU10" i="32"/>
  <c r="S18" i="81"/>
  <c r="AU25" i="32"/>
  <c r="I18" i="81"/>
  <c r="D47" i="52"/>
  <c r="F14" i="81"/>
  <c r="S25" i="81"/>
  <c r="M42" i="73"/>
  <c r="M44" i="73" s="1"/>
  <c r="R1" i="79"/>
  <c r="S1" i="79" s="1"/>
  <c r="P1" i="79" s="1" a="1"/>
  <c r="P1" i="79" s="1"/>
  <c r="AU7" i="32"/>
  <c r="C17" i="81"/>
  <c r="S15" i="81"/>
  <c r="T15" i="81" s="1"/>
  <c r="S31" i="81"/>
  <c r="S32" i="81" s="1"/>
  <c r="AB4" i="32"/>
  <c r="AB29" i="32" s="1"/>
  <c r="S33" i="81"/>
  <c r="B9" i="32"/>
  <c r="S17" i="81"/>
  <c r="M41" i="73"/>
  <c r="O41" i="73" s="1"/>
  <c r="I41" i="73"/>
  <c r="K41" i="73" s="1"/>
  <c r="M57" i="73" a="1"/>
  <c r="I57" i="73" a="1"/>
  <c r="AY3" i="94" l="1"/>
  <c r="BA2" i="91"/>
  <c r="AY3" i="91"/>
  <c r="AY3" i="92"/>
  <c r="AY3" i="95"/>
  <c r="AX2" i="92"/>
  <c r="AZ2" i="92" s="1"/>
  <c r="BA2" i="92" s="1"/>
  <c r="BA2" i="95"/>
  <c r="DN4" i="61"/>
  <c r="DN3" i="61"/>
  <c r="DN4" i="59"/>
  <c r="DN3" i="59"/>
  <c r="DN4" i="57"/>
  <c r="DN3" i="57"/>
  <c r="DN4" i="63"/>
  <c r="DN3" i="63"/>
  <c r="DN3" i="55"/>
  <c r="DN4" i="55"/>
  <c r="DN4" i="50"/>
  <c r="DN3" i="50"/>
  <c r="S18" i="32"/>
  <c r="K58" i="94"/>
  <c r="K54" i="94"/>
  <c r="K55" i="94"/>
  <c r="K57" i="94"/>
  <c r="K56" i="94"/>
  <c r="K60" i="94" s="1"/>
  <c r="M36" i="95"/>
  <c r="L36" i="95"/>
  <c r="S8" i="92"/>
  <c r="AT17" i="92"/>
  <c r="S10" i="92"/>
  <c r="O71" i="94"/>
  <c r="O65" i="94"/>
  <c r="O66" i="94"/>
  <c r="O67" i="94"/>
  <c r="O70" i="94"/>
  <c r="O68" i="94"/>
  <c r="O69" i="94"/>
  <c r="M36" i="94"/>
  <c r="L36" i="94"/>
  <c r="L33" i="94"/>
  <c r="S18" i="95"/>
  <c r="AV7" i="95"/>
  <c r="AY21" i="95"/>
  <c r="AZ21" i="95"/>
  <c r="L33" i="92"/>
  <c r="AT17" i="93"/>
  <c r="S8" i="93"/>
  <c r="S10" i="93"/>
  <c r="L41" i="93"/>
  <c r="L42" i="93"/>
  <c r="L38" i="93"/>
  <c r="M38" i="93" s="1"/>
  <c r="L39" i="93"/>
  <c r="L40" i="93"/>
  <c r="L33" i="93"/>
  <c r="L41" i="94"/>
  <c r="L42" i="94"/>
  <c r="L40" i="94"/>
  <c r="L38" i="94"/>
  <c r="M38" i="94" s="1"/>
  <c r="L39" i="94"/>
  <c r="S18" i="92"/>
  <c r="AZ21" i="92"/>
  <c r="AV7" i="92"/>
  <c r="AY21" i="92"/>
  <c r="L33" i="95"/>
  <c r="AU17" i="91"/>
  <c r="AU24" i="91"/>
  <c r="K58" i="95"/>
  <c r="K57" i="95"/>
  <c r="K54" i="95"/>
  <c r="K55" i="95"/>
  <c r="K56" i="95"/>
  <c r="K60" i="95" s="1"/>
  <c r="J67" i="95"/>
  <c r="J68" i="94"/>
  <c r="J66" i="92"/>
  <c r="J67" i="91"/>
  <c r="J70" i="93"/>
  <c r="J68" i="91"/>
  <c r="J66" i="95"/>
  <c r="J67" i="94"/>
  <c r="J71" i="92"/>
  <c r="J65" i="92"/>
  <c r="J66" i="91"/>
  <c r="J69" i="93"/>
  <c r="J67" i="92"/>
  <c r="J71" i="95"/>
  <c r="J65" i="95"/>
  <c r="J66" i="94"/>
  <c r="J70" i="92"/>
  <c r="J71" i="91"/>
  <c r="J65" i="91"/>
  <c r="J68" i="93"/>
  <c r="J65" i="93"/>
  <c r="J70" i="95"/>
  <c r="J71" i="94"/>
  <c r="J65" i="94"/>
  <c r="J69" i="92"/>
  <c r="J70" i="91"/>
  <c r="J67" i="93"/>
  <c r="J68" i="95"/>
  <c r="J69" i="95"/>
  <c r="J70" i="94"/>
  <c r="J68" i="92"/>
  <c r="J69" i="91"/>
  <c r="J66" i="93"/>
  <c r="J69" i="94"/>
  <c r="J71" i="93"/>
  <c r="L41" i="95"/>
  <c r="L42" i="95"/>
  <c r="L39" i="95"/>
  <c r="L40" i="95"/>
  <c r="L38" i="95"/>
  <c r="M38" i="95" s="1"/>
  <c r="S18" i="94"/>
  <c r="AY21" i="94"/>
  <c r="AV7" i="94"/>
  <c r="AZ21" i="94"/>
  <c r="M36" i="92"/>
  <c r="L36" i="92"/>
  <c r="AV7" i="93"/>
  <c r="S18" i="93"/>
  <c r="AZ21" i="93"/>
  <c r="AY21" i="93"/>
  <c r="M36" i="91"/>
  <c r="L36" i="91"/>
  <c r="AT35" i="94"/>
  <c r="AT33" i="94"/>
  <c r="K58" i="92"/>
  <c r="K55" i="92"/>
  <c r="K56" i="92"/>
  <c r="K60" i="92" s="1"/>
  <c r="K57" i="92"/>
  <c r="K54" i="92"/>
  <c r="O71" i="95"/>
  <c r="O69" i="95"/>
  <c r="O70" i="95"/>
  <c r="O65" i="95"/>
  <c r="O68" i="95"/>
  <c r="O66" i="95"/>
  <c r="O67" i="95"/>
  <c r="AT35" i="95"/>
  <c r="AT33" i="95"/>
  <c r="L41" i="91"/>
  <c r="L42" i="91"/>
  <c r="L38" i="91"/>
  <c r="M38" i="91" s="1"/>
  <c r="L40" i="91"/>
  <c r="L39" i="91"/>
  <c r="AY21" i="91"/>
  <c r="S18" i="91"/>
  <c r="AZ21" i="91"/>
  <c r="AV7" i="91"/>
  <c r="AT17" i="94"/>
  <c r="S10" i="94"/>
  <c r="S8" i="94"/>
  <c r="O71" i="92"/>
  <c r="O65" i="92"/>
  <c r="O67" i="92"/>
  <c r="O68" i="92"/>
  <c r="O69" i="92"/>
  <c r="O70" i="92"/>
  <c r="O66" i="92"/>
  <c r="AT35" i="93"/>
  <c r="AT33" i="93"/>
  <c r="AU24" i="95"/>
  <c r="AU17" i="95"/>
  <c r="M36" i="93"/>
  <c r="L36" i="93"/>
  <c r="K58" i="93"/>
  <c r="K57" i="93"/>
  <c r="K54" i="93"/>
  <c r="K55" i="93"/>
  <c r="K56" i="93"/>
  <c r="K60" i="93" s="1"/>
  <c r="S10" i="95"/>
  <c r="AT17" i="95"/>
  <c r="S8" i="95"/>
  <c r="AT35" i="92"/>
  <c r="AT33" i="92"/>
  <c r="S8" i="91"/>
  <c r="S10" i="91"/>
  <c r="AT17" i="91"/>
  <c r="O71" i="93"/>
  <c r="O69" i="93"/>
  <c r="O65" i="93"/>
  <c r="O70" i="93"/>
  <c r="O66" i="93"/>
  <c r="O68" i="93"/>
  <c r="O67" i="93"/>
  <c r="K58" i="91"/>
  <c r="K57" i="91"/>
  <c r="K54" i="91"/>
  <c r="K55" i="91"/>
  <c r="K56" i="91"/>
  <c r="K60" i="91" s="1"/>
  <c r="AU24" i="94"/>
  <c r="AU17" i="94"/>
  <c r="AT35" i="91"/>
  <c r="AT33" i="91"/>
  <c r="L41" i="92"/>
  <c r="L42" i="92"/>
  <c r="L39" i="92"/>
  <c r="L40" i="92"/>
  <c r="L38" i="92"/>
  <c r="M38" i="92" s="1"/>
  <c r="AU24" i="93"/>
  <c r="AU17" i="93"/>
  <c r="AU24" i="92"/>
  <c r="AU17" i="92"/>
  <c r="L33" i="91"/>
  <c r="O71" i="91"/>
  <c r="O70" i="91"/>
  <c r="O65" i="91"/>
  <c r="O69" i="91"/>
  <c r="O66" i="91"/>
  <c r="O67" i="91"/>
  <c r="O68" i="91"/>
  <c r="AC12" i="99" a="1"/>
  <c r="AC12" i="99" s="1"/>
  <c r="AJ13" i="99"/>
  <c r="AC13" i="99"/>
  <c r="L36" i="32"/>
  <c r="M36" i="32"/>
  <c r="AY3" i="32"/>
  <c r="I68" i="73"/>
  <c r="I80" i="73"/>
  <c r="I92" i="73"/>
  <c r="I97" i="73"/>
  <c r="I57" i="73"/>
  <c r="I69" i="73"/>
  <c r="I81" i="73"/>
  <c r="I93" i="73"/>
  <c r="I73" i="73"/>
  <c r="I86" i="73"/>
  <c r="I58" i="73"/>
  <c r="I70" i="73"/>
  <c r="I82" i="73"/>
  <c r="I94" i="73"/>
  <c r="I60" i="73"/>
  <c r="I84" i="73"/>
  <c r="I96" i="73"/>
  <c r="I59" i="73"/>
  <c r="I71" i="73"/>
  <c r="I83" i="73"/>
  <c r="I95" i="73"/>
  <c r="I72" i="73"/>
  <c r="I61" i="73"/>
  <c r="I62" i="73"/>
  <c r="I63" i="73"/>
  <c r="I75" i="73"/>
  <c r="I87" i="73"/>
  <c r="I99" i="73"/>
  <c r="I64" i="73"/>
  <c r="I76" i="73"/>
  <c r="I88" i="73"/>
  <c r="I100" i="73"/>
  <c r="I65" i="73"/>
  <c r="I77" i="73"/>
  <c r="I89" i="73"/>
  <c r="I66" i="73"/>
  <c r="I78" i="73"/>
  <c r="I90" i="73"/>
  <c r="I67" i="73"/>
  <c r="I79" i="73"/>
  <c r="I91" i="73"/>
  <c r="I85" i="73"/>
  <c r="I98" i="73"/>
  <c r="I74"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AU24" i="32"/>
  <c r="AB25" i="104"/>
  <c r="J71" i="32"/>
  <c r="J68" i="32"/>
  <c r="J65" i="32"/>
  <c r="J66" i="32"/>
  <c r="J69" i="32"/>
  <c r="J67" i="32"/>
  <c r="J70" i="32"/>
  <c r="G41" i="73"/>
  <c r="L38" i="32"/>
  <c r="M38" i="32" s="1"/>
  <c r="L40" i="32"/>
  <c r="L39" i="32"/>
  <c r="L42" i="32"/>
  <c r="L41" i="32"/>
  <c r="K54" i="32"/>
  <c r="K58" i="32"/>
  <c r="K55" i="32"/>
  <c r="K57" i="32"/>
  <c r="K56" i="32"/>
  <c r="K60" i="32" s="1"/>
  <c r="G7" i="32"/>
  <c r="AB23" i="50"/>
  <c r="AC15" i="99"/>
  <c r="W20" i="99" s="1"/>
  <c r="AB123" i="104"/>
  <c r="V128" i="104" s="1"/>
  <c r="AB84" i="104"/>
  <c r="X55" i="32"/>
  <c r="X56" i="32"/>
  <c r="AB195" i="104"/>
  <c r="V200" i="104" s="1"/>
  <c r="AB97" i="104"/>
  <c r="AB61" i="104"/>
  <c r="AB159" i="104"/>
  <c r="V164" i="104" s="1"/>
  <c r="AB48" i="104"/>
  <c r="AB15" i="104"/>
  <c r="V20" i="104" s="1"/>
  <c r="AB120" i="104"/>
  <c r="AB156" i="104"/>
  <c r="AB192" i="104"/>
  <c r="S8" i="32"/>
  <c r="AI13" i="104"/>
  <c r="AB13" i="104"/>
  <c r="AB12" i="104" a="1"/>
  <c r="AB12" i="104" s="1"/>
  <c r="S1" i="59"/>
  <c r="AB51" i="104"/>
  <c r="V56" i="104" s="1"/>
  <c r="AB169" i="104"/>
  <c r="AB87" i="104"/>
  <c r="V92" i="104" s="1"/>
  <c r="AB133" i="104"/>
  <c r="AB205" i="104"/>
  <c r="S1" i="55"/>
  <c r="S1" i="50"/>
  <c r="S1" i="61"/>
  <c r="AC133" i="99"/>
  <c r="S1" i="63"/>
  <c r="S1" i="57"/>
  <c r="AC169" i="99"/>
  <c r="AC97" i="99"/>
  <c r="AB17" i="59"/>
  <c r="AB17" i="57"/>
  <c r="AB17" i="55"/>
  <c r="AB17" i="61"/>
  <c r="AB17" i="63"/>
  <c r="AC205" i="99"/>
  <c r="I43" i="73"/>
  <c r="I44" i="73"/>
  <c r="E44" i="73"/>
  <c r="E43" i="73"/>
  <c r="AC48" i="99"/>
  <c r="AC195" i="99"/>
  <c r="W200" i="99" s="1"/>
  <c r="AC120" i="99"/>
  <c r="AC84" i="99"/>
  <c r="S10" i="32"/>
  <c r="AC123" i="99"/>
  <c r="W128" i="99" s="1"/>
  <c r="AC159" i="99"/>
  <c r="W164" i="99" s="1"/>
  <c r="AC156" i="99"/>
  <c r="AC192" i="99"/>
  <c r="AC51" i="99"/>
  <c r="W56" i="99" s="1"/>
  <c r="AC25" i="99"/>
  <c r="Z7" i="96" a="1"/>
  <c r="Z16" i="96" s="1"/>
  <c r="AT35" i="32"/>
  <c r="AC87" i="99"/>
  <c r="W92" i="99" s="1"/>
  <c r="U10" i="96"/>
  <c r="V19" i="96" s="1"/>
  <c r="M32" i="96" s="1"/>
  <c r="AT33" i="32"/>
  <c r="T55" i="32"/>
  <c r="T56" i="32"/>
  <c r="W38" i="81"/>
  <c r="AC61" i="99"/>
  <c r="B35" i="81"/>
  <c r="M43" i="73"/>
  <c r="AY21" i="32"/>
  <c r="AV7" i="32"/>
  <c r="AZ21" i="32"/>
  <c r="AE1" i="52"/>
  <c r="AE2" i="52"/>
  <c r="AE8" i="52"/>
  <c r="AE3" i="52"/>
  <c r="AE5" i="52"/>
  <c r="AE4" i="52"/>
  <c r="AE7" i="52"/>
  <c r="AD54" i="93" a="1"/>
  <c r="AD54" i="92" a="1"/>
  <c r="AD54" i="91" a="1"/>
  <c r="AD54" i="32" a="1"/>
  <c r="E57" i="73" a="1"/>
  <c r="AD54" i="94" a="1"/>
  <c r="AD54" i="95" a="1"/>
  <c r="L30" i="95" l="1"/>
  <c r="P36" i="94" a="1"/>
  <c r="P36" i="94" s="1"/>
  <c r="P36" i="95" a="1"/>
  <c r="P36" i="95" s="1"/>
  <c r="L30" i="92"/>
  <c r="L30" i="91"/>
  <c r="P36" i="92" a="1"/>
  <c r="P36" i="92" s="1"/>
  <c r="L30" i="94"/>
  <c r="L30" i="93"/>
  <c r="AD59" i="91"/>
  <c r="AD80" i="91"/>
  <c r="AD77" i="91"/>
  <c r="AD62" i="91"/>
  <c r="AD60" i="91"/>
  <c r="AD94" i="91"/>
  <c r="AD88" i="91"/>
  <c r="AD85" i="91"/>
  <c r="AD82" i="91"/>
  <c r="AD76" i="91"/>
  <c r="AD73" i="91"/>
  <c r="AD71" i="91"/>
  <c r="AD68" i="91"/>
  <c r="AD65" i="91"/>
  <c r="AD97" i="91"/>
  <c r="AD91" i="91"/>
  <c r="AD56" i="91"/>
  <c r="AD70" i="91"/>
  <c r="AD79" i="91"/>
  <c r="AD64" i="91"/>
  <c r="AD61" i="91"/>
  <c r="AD57" i="91"/>
  <c r="AD84" i="91"/>
  <c r="AD58" i="91"/>
  <c r="AD67" i="91"/>
  <c r="AD72" i="91"/>
  <c r="AD93" i="91"/>
  <c r="AD55" i="91"/>
  <c r="AD87" i="91"/>
  <c r="AD75" i="91"/>
  <c r="AD69" i="91"/>
  <c r="AD95" i="91"/>
  <c r="AD81" i="91"/>
  <c r="AD78" i="91"/>
  <c r="AD90" i="91"/>
  <c r="AD66" i="91"/>
  <c r="AD63" i="91"/>
  <c r="AD92" i="91"/>
  <c r="AD74" i="91"/>
  <c r="AD83" i="91"/>
  <c r="AD96" i="91"/>
  <c r="AD54" i="91"/>
  <c r="AD86" i="91"/>
  <c r="AD89" i="91"/>
  <c r="AD58" i="92"/>
  <c r="AD79" i="92"/>
  <c r="AD63" i="92"/>
  <c r="AD96" i="92"/>
  <c r="AD60" i="92"/>
  <c r="AD88" i="92"/>
  <c r="AD55" i="92"/>
  <c r="AD76" i="92"/>
  <c r="AD81" i="92"/>
  <c r="AD87" i="92"/>
  <c r="AD64" i="92"/>
  <c r="AD91" i="92"/>
  <c r="AD67" i="92"/>
  <c r="AD93" i="92"/>
  <c r="AD69" i="92"/>
  <c r="AD90" i="92"/>
  <c r="AD72" i="92"/>
  <c r="AD65" i="92"/>
  <c r="AD95" i="92"/>
  <c r="AD57" i="92"/>
  <c r="AD78" i="92"/>
  <c r="AD86" i="92"/>
  <c r="AD92" i="92"/>
  <c r="AD66" i="92"/>
  <c r="AD74" i="92"/>
  <c r="AD80" i="92"/>
  <c r="AD68" i="92"/>
  <c r="AD94" i="92"/>
  <c r="AD56" i="92"/>
  <c r="AD89" i="92"/>
  <c r="AD85" i="92"/>
  <c r="AD61" i="92"/>
  <c r="AD83" i="92"/>
  <c r="AD54" i="92"/>
  <c r="AD62" i="92"/>
  <c r="AD71" i="92"/>
  <c r="AD59" i="92"/>
  <c r="AD84" i="92"/>
  <c r="AD97" i="92"/>
  <c r="AD82" i="92"/>
  <c r="AD75" i="92"/>
  <c r="AD77" i="92"/>
  <c r="AD73" i="92"/>
  <c r="AD70" i="92"/>
  <c r="AD82" i="94"/>
  <c r="AD91" i="94"/>
  <c r="AD88" i="94"/>
  <c r="AD72" i="94"/>
  <c r="AD70" i="94"/>
  <c r="AD79" i="94"/>
  <c r="AD76" i="94"/>
  <c r="AD65" i="94"/>
  <c r="AD60" i="94"/>
  <c r="AD58" i="94"/>
  <c r="AD67" i="94"/>
  <c r="AD64" i="94"/>
  <c r="AD62" i="94"/>
  <c r="AD55" i="94"/>
  <c r="AD87" i="94"/>
  <c r="AD93" i="94"/>
  <c r="AD90" i="94"/>
  <c r="AD75" i="94"/>
  <c r="AD56" i="94"/>
  <c r="AD81" i="94"/>
  <c r="AD78" i="94"/>
  <c r="AD63" i="94"/>
  <c r="AD80" i="94"/>
  <c r="AD95" i="94"/>
  <c r="AD69" i="94"/>
  <c r="AD66" i="94"/>
  <c r="AD97" i="94"/>
  <c r="AD94" i="94"/>
  <c r="AD84" i="94"/>
  <c r="AD83" i="94"/>
  <c r="AD57" i="94"/>
  <c r="AD54" i="94"/>
  <c r="AD85" i="94"/>
  <c r="AD61" i="94"/>
  <c r="AD71" i="94"/>
  <c r="AD92" i="94"/>
  <c r="AD74" i="94"/>
  <c r="AD73" i="94"/>
  <c r="AD89" i="94"/>
  <c r="AD59" i="94"/>
  <c r="AD86" i="94"/>
  <c r="AD68" i="94"/>
  <c r="AD77" i="94"/>
  <c r="AD96" i="94"/>
  <c r="AD71" i="95"/>
  <c r="AD68" i="95"/>
  <c r="AD65" i="95"/>
  <c r="AD73" i="95"/>
  <c r="AD56" i="95"/>
  <c r="AD88" i="95"/>
  <c r="AD61" i="95"/>
  <c r="AD85" i="95"/>
  <c r="AD59" i="95"/>
  <c r="AD94" i="95"/>
  <c r="AD91" i="95"/>
  <c r="AD76" i="95"/>
  <c r="AD96" i="95"/>
  <c r="AD82" i="95"/>
  <c r="AD79" i="95"/>
  <c r="AD64" i="95"/>
  <c r="AD84" i="95"/>
  <c r="AD70" i="95"/>
  <c r="AD67" i="95"/>
  <c r="AD87" i="95"/>
  <c r="AD72" i="95"/>
  <c r="AD80" i="95"/>
  <c r="AD58" i="95"/>
  <c r="AD55" i="95"/>
  <c r="AD75" i="95"/>
  <c r="AD60" i="95"/>
  <c r="AD93" i="95"/>
  <c r="AD90" i="95"/>
  <c r="AD63" i="95"/>
  <c r="AD83" i="95"/>
  <c r="AD81" i="95"/>
  <c r="AD78" i="95"/>
  <c r="AD86" i="95"/>
  <c r="AD69" i="95"/>
  <c r="AD66" i="95"/>
  <c r="AD74" i="95"/>
  <c r="AD57" i="95"/>
  <c r="AD54" i="95"/>
  <c r="AD62" i="95"/>
  <c r="AD95" i="95"/>
  <c r="AD92" i="95"/>
  <c r="AD89" i="95"/>
  <c r="AD97" i="95"/>
  <c r="AD77" i="95"/>
  <c r="AD42" i="95"/>
  <c r="AD44" i="95"/>
  <c r="AD44" i="91"/>
  <c r="AD42" i="91"/>
  <c r="AD42" i="92"/>
  <c r="AD44" i="92"/>
  <c r="P36" i="93" a="1"/>
  <c r="P36" i="93" s="1"/>
  <c r="AD42" i="93"/>
  <c r="AD44" i="93"/>
  <c r="P36" i="91" a="1"/>
  <c r="P36" i="91" s="1"/>
  <c r="AD42" i="94"/>
  <c r="AD44" i="94"/>
  <c r="AD81" i="93"/>
  <c r="AD90" i="93"/>
  <c r="AD75" i="93"/>
  <c r="AD69" i="93"/>
  <c r="AD78" i="93"/>
  <c r="AD63" i="93"/>
  <c r="AD95" i="93"/>
  <c r="AD57" i="93"/>
  <c r="AD66" i="93"/>
  <c r="AD84" i="93"/>
  <c r="AD93" i="93"/>
  <c r="AD83" i="93"/>
  <c r="AD60" i="93"/>
  <c r="AD54" i="93"/>
  <c r="AD86" i="93"/>
  <c r="AD80" i="93"/>
  <c r="AD71" i="93"/>
  <c r="AD92" i="93"/>
  <c r="AD72" i="93"/>
  <c r="AD74" i="93"/>
  <c r="AD89" i="93"/>
  <c r="AD87" i="93"/>
  <c r="AD59" i="93"/>
  <c r="AD62" i="93"/>
  <c r="AD96" i="93"/>
  <c r="AD68" i="93"/>
  <c r="AD77" i="93"/>
  <c r="AD97" i="93"/>
  <c r="AD94" i="93"/>
  <c r="AD56" i="93"/>
  <c r="AD65" i="93"/>
  <c r="AD85" i="93"/>
  <c r="AD82" i="93"/>
  <c r="AD91" i="93"/>
  <c r="AD88" i="93"/>
  <c r="AD73" i="93"/>
  <c r="AD70" i="93"/>
  <c r="AD79" i="93"/>
  <c r="AD76" i="93"/>
  <c r="AD61" i="93"/>
  <c r="AD55" i="93"/>
  <c r="AD58" i="93"/>
  <c r="AD67" i="93"/>
  <c r="AD64" i="93"/>
  <c r="AD65" i="32"/>
  <c r="AD56" i="32"/>
  <c r="AD82" i="32"/>
  <c r="AD74" i="32"/>
  <c r="AD83" i="32"/>
  <c r="AD92" i="32"/>
  <c r="AD95" i="32"/>
  <c r="AD87" i="32"/>
  <c r="AD78" i="32"/>
  <c r="AD84" i="32"/>
  <c r="AD90" i="32"/>
  <c r="AD96" i="32"/>
  <c r="AD81" i="32"/>
  <c r="AD61" i="32"/>
  <c r="AD67" i="32"/>
  <c r="AD73" i="32"/>
  <c r="AD59" i="32"/>
  <c r="AD91" i="32"/>
  <c r="AD97" i="32"/>
  <c r="AD70" i="32"/>
  <c r="AD62" i="32"/>
  <c r="AD77" i="32"/>
  <c r="AD68" i="32"/>
  <c r="AD94" i="32"/>
  <c r="AD86" i="32"/>
  <c r="AD80" i="32"/>
  <c r="AD63" i="32"/>
  <c r="AD54" i="32"/>
  <c r="AD60" i="32"/>
  <c r="AD75" i="32"/>
  <c r="AD66" i="32"/>
  <c r="AD72" i="32"/>
  <c r="AD57" i="32"/>
  <c r="AD64" i="32"/>
  <c r="AD69" i="32"/>
  <c r="AD76" i="32"/>
  <c r="AD55" i="32"/>
  <c r="AD88" i="32"/>
  <c r="AD93" i="32"/>
  <c r="AD79" i="32"/>
  <c r="AD85" i="32"/>
  <c r="AD58" i="32"/>
  <c r="AD71" i="32"/>
  <c r="AD89" i="32"/>
  <c r="E59" i="73"/>
  <c r="E71" i="73"/>
  <c r="E83" i="73"/>
  <c r="E95" i="73"/>
  <c r="E65" i="73"/>
  <c r="E60" i="73"/>
  <c r="E72" i="73"/>
  <c r="E84" i="73"/>
  <c r="E96" i="73"/>
  <c r="E61" i="73"/>
  <c r="E73" i="73"/>
  <c r="E85" i="73"/>
  <c r="E97" i="73"/>
  <c r="E63" i="73"/>
  <c r="E75" i="73"/>
  <c r="E87" i="73"/>
  <c r="E99" i="73"/>
  <c r="E64" i="73"/>
  <c r="E62" i="73"/>
  <c r="E74" i="73"/>
  <c r="E86" i="73"/>
  <c r="E98" i="73"/>
  <c r="E76" i="73"/>
  <c r="E88" i="73"/>
  <c r="E100" i="73"/>
  <c r="E66" i="73"/>
  <c r="E78" i="73"/>
  <c r="E90" i="73"/>
  <c r="E67" i="73"/>
  <c r="E79" i="73"/>
  <c r="E91" i="73"/>
  <c r="E68" i="73"/>
  <c r="E80" i="73"/>
  <c r="E92" i="73"/>
  <c r="E57" i="73"/>
  <c r="E69" i="73"/>
  <c r="E81" i="73"/>
  <c r="E93" i="73"/>
  <c r="E58" i="73"/>
  <c r="E70" i="73"/>
  <c r="E82" i="73"/>
  <c r="E94" i="73"/>
  <c r="E77" i="73"/>
  <c r="E89" i="73"/>
  <c r="O65" i="32" a="1"/>
  <c r="P1" i="59" a="1"/>
  <c r="P1" i="59" s="1"/>
  <c r="AE41" i="32"/>
  <c r="AD42" i="32"/>
  <c r="AD44" i="32"/>
  <c r="P36" i="32" a="1"/>
  <c r="P36" i="32" s="1"/>
  <c r="P1" i="61" a="1"/>
  <c r="P1" i="61" s="1"/>
  <c r="P1" i="57" a="1"/>
  <c r="P1" i="57" s="1"/>
  <c r="P1" i="55" a="1"/>
  <c r="P1" i="55" s="1"/>
  <c r="P1" i="63" a="1"/>
  <c r="P1" i="63" s="1"/>
  <c r="P1" i="50" a="1"/>
  <c r="P1" i="50" s="1"/>
  <c r="O43" i="73"/>
  <c r="AC26" i="73" s="1"/>
  <c r="AL26" i="73" s="1"/>
  <c r="Z32" i="96"/>
  <c r="Z22" i="96"/>
  <c r="Z21" i="96"/>
  <c r="Z46" i="96"/>
  <c r="Z29" i="96"/>
  <c r="Z64" i="96"/>
  <c r="Z39" i="96"/>
  <c r="Z63" i="96"/>
  <c r="Z54" i="96"/>
  <c r="Z36" i="96"/>
  <c r="Z43" i="96"/>
  <c r="Z31" i="96"/>
  <c r="Z19" i="96"/>
  <c r="Z44" i="96"/>
  <c r="Z52" i="96"/>
  <c r="Z17" i="96"/>
  <c r="Z51" i="96"/>
  <c r="Z30" i="96"/>
  <c r="Z59" i="96"/>
  <c r="Z28" i="96"/>
  <c r="Z38" i="96"/>
  <c r="Z8" i="96"/>
  <c r="Z57" i="96"/>
  <c r="Z34" i="96"/>
  <c r="Z62" i="96"/>
  <c r="Z41" i="96"/>
  <c r="Z33" i="96"/>
  <c r="Z49" i="96"/>
  <c r="Z18" i="96"/>
  <c r="Z37" i="96"/>
  <c r="Z42" i="96"/>
  <c r="Z55" i="96"/>
  <c r="Z15" i="96"/>
  <c r="Z11" i="96"/>
  <c r="Z50" i="96"/>
  <c r="Z26" i="96"/>
  <c r="Z60" i="96"/>
  <c r="Z58" i="96"/>
  <c r="Z9" i="96"/>
  <c r="Z12" i="96"/>
  <c r="Z45" i="96"/>
  <c r="Z13" i="96"/>
  <c r="Z35" i="96"/>
  <c r="Z25" i="96"/>
  <c r="Z40" i="96"/>
  <c r="Z56" i="96"/>
  <c r="Z27" i="96"/>
  <c r="Z7" i="96"/>
  <c r="Z61" i="96"/>
  <c r="Z24" i="96"/>
  <c r="Z48" i="96"/>
  <c r="Z53" i="96"/>
  <c r="Z14" i="96"/>
  <c r="Z10" i="96"/>
  <c r="Z20" i="96"/>
  <c r="Z23" i="96"/>
  <c r="Z47" i="96"/>
  <c r="T59" i="32"/>
  <c r="O44" i="73"/>
  <c r="AC24" i="73" s="1"/>
  <c r="T36" i="32" a="1"/>
  <c r="T48" i="92" l="1"/>
  <c r="T48" i="91"/>
  <c r="T48" i="95"/>
  <c r="T48" i="94"/>
  <c r="T48" i="93"/>
  <c r="AU31" i="91"/>
  <c r="AF36" i="91"/>
  <c r="AF40" i="91"/>
  <c r="AE40" i="91" s="1"/>
  <c r="AF37" i="91"/>
  <c r="AF38" i="91"/>
  <c r="AE38" i="91" s="1"/>
  <c r="AF39" i="91"/>
  <c r="AE39" i="91" s="1"/>
  <c r="AU31" i="95"/>
  <c r="AF40" i="95"/>
  <c r="AE40" i="95" s="1"/>
  <c r="AF39" i="95"/>
  <c r="AE39" i="95" s="1"/>
  <c r="AF37" i="95"/>
  <c r="AF36" i="95"/>
  <c r="AF38" i="95"/>
  <c r="AE38" i="95" s="1"/>
  <c r="AU31" i="94"/>
  <c r="AF36" i="94"/>
  <c r="AF40" i="94"/>
  <c r="AE40" i="94" s="1"/>
  <c r="AF37" i="94"/>
  <c r="AF39" i="94"/>
  <c r="AE39" i="94" s="1"/>
  <c r="AF38" i="94"/>
  <c r="AE38" i="94" s="1"/>
  <c r="AF39" i="93"/>
  <c r="AE39" i="93" s="1"/>
  <c r="AF37" i="93"/>
  <c r="AF38" i="93"/>
  <c r="AE38" i="93" s="1"/>
  <c r="AU31" i="93"/>
  <c r="AF36" i="93"/>
  <c r="AF40" i="93"/>
  <c r="AE40" i="93" s="1"/>
  <c r="AU31" i="92"/>
  <c r="AF40" i="92"/>
  <c r="AE40" i="92" s="1"/>
  <c r="AF39" i="92"/>
  <c r="AE39" i="92" s="1"/>
  <c r="AF37" i="92"/>
  <c r="AF36" i="92"/>
  <c r="AF38" i="92"/>
  <c r="AE38" i="92" s="1"/>
  <c r="AF40" i="32"/>
  <c r="AE40" i="32" s="1"/>
  <c r="AF39" i="32"/>
  <c r="AE39" i="32" s="1"/>
  <c r="AF38" i="32"/>
  <c r="AE38" i="32" s="1"/>
  <c r="AF37" i="32"/>
  <c r="AF36" i="32"/>
  <c r="AU31" i="32"/>
  <c r="T36" i="32"/>
  <c r="T39" i="32"/>
  <c r="T42" i="32"/>
  <c r="T38" i="32"/>
  <c r="T40" i="32"/>
  <c r="T41" i="32"/>
  <c r="T44" i="32"/>
  <c r="T37" i="32"/>
  <c r="T43" i="32"/>
  <c r="T48" i="32"/>
  <c r="O65" i="32"/>
  <c r="O70" i="32"/>
  <c r="O69" i="32"/>
  <c r="O68" i="32"/>
  <c r="O71" i="32"/>
  <c r="O67" i="32"/>
  <c r="O66" i="32"/>
  <c r="AL24" i="73"/>
  <c r="AL37" i="73" s="1"/>
  <c r="T36" i="92" a="1"/>
  <c r="T36" i="91" a="1"/>
  <c r="T36" i="95" a="1"/>
  <c r="T36" i="94" a="1"/>
  <c r="T36" i="93" a="1"/>
  <c r="T37" i="93" l="1"/>
  <c r="T36" i="93"/>
  <c r="T38" i="93"/>
  <c r="T39" i="93"/>
  <c r="T42" i="93"/>
  <c r="T40" i="93"/>
  <c r="T44" i="93"/>
  <c r="T43" i="93"/>
  <c r="T41" i="93"/>
  <c r="T36" i="94"/>
  <c r="T38" i="94"/>
  <c r="T44" i="94"/>
  <c r="T40" i="94"/>
  <c r="T42" i="94"/>
  <c r="T41" i="94"/>
  <c r="T37" i="94"/>
  <c r="T43" i="94"/>
  <c r="T39" i="94"/>
  <c r="T37" i="95"/>
  <c r="T38" i="95"/>
  <c r="T41" i="95"/>
  <c r="T36" i="95"/>
  <c r="T44" i="95"/>
  <c r="T42" i="95"/>
  <c r="T40" i="95"/>
  <c r="T43" i="95"/>
  <c r="T39" i="95"/>
  <c r="T36" i="91"/>
  <c r="T44" i="91"/>
  <c r="T38" i="91"/>
  <c r="T41" i="91"/>
  <c r="T42" i="91"/>
  <c r="T39" i="91"/>
  <c r="T37" i="91"/>
  <c r="T40" i="91"/>
  <c r="T43" i="91"/>
  <c r="T42" i="92"/>
  <c r="T41" i="92"/>
  <c r="T43" i="92"/>
  <c r="T39" i="92"/>
  <c r="T38" i="92"/>
  <c r="T40" i="92"/>
  <c r="T37" i="92"/>
  <c r="T36" i="92"/>
  <c r="T44" i="92"/>
  <c r="AZ2" i="32"/>
  <c r="E55" i="73"/>
  <c r="E48" i="73" s="1"/>
  <c r="M55" i="73"/>
  <c r="M48" i="73" s="1"/>
  <c r="I55" i="73"/>
  <c r="I48" i="73" s="1"/>
  <c r="AY2" i="32"/>
  <c r="AT13" i="32"/>
  <c r="B19" i="81"/>
  <c r="AT17" i="32"/>
  <c r="B15" i="81"/>
  <c r="M47" i="81" s="1"/>
  <c r="AL39" i="73" l="1"/>
  <c r="BA2" i="32"/>
  <c r="AT11" i="32" s="1"/>
  <c r="L30" i="32" s="1"/>
  <c r="L33" i="32"/>
  <c r="AA175" i="71" l="1"/>
  <c r="W4" i="104" l="1"/>
  <c r="AH5" i="71"/>
  <c r="AB18" i="104"/>
  <c r="AI18" i="104" s="1"/>
  <c r="AH7" i="71" l="1"/>
  <c r="X4" i="9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Keller Tomáš</author>
  </authors>
  <commentList>
    <comment ref="T5" authorId="0" shapeId="0" xr:uid="{DBF33365-0A74-4B44-AE77-99AB8187A041}">
      <text>
        <r>
          <rPr>
            <b/>
            <sz val="9"/>
            <color indexed="8"/>
            <rFont val="Tahoma"/>
            <family val="2"/>
            <charset val="238"/>
          </rPr>
          <t>Keller Tomáš:</t>
        </r>
        <r>
          <rPr>
            <sz val="9"/>
            <color indexed="8"/>
            <rFont val="Tahoma"/>
            <family val="2"/>
            <charset val="238"/>
          </rPr>
          <t xml:space="preserve">
</t>
        </r>
        <r>
          <rPr>
            <sz val="9"/>
            <color indexed="8"/>
            <rFont val="Tahoma"/>
            <family val="2"/>
            <charset val="238"/>
          </rPr>
          <t xml:space="preserve">1 - úzký rámeček
</t>
        </r>
        <r>
          <rPr>
            <sz val="9"/>
            <color indexed="8"/>
            <rFont val="Tahoma"/>
            <family val="2"/>
            <charset val="238"/>
          </rPr>
          <t>2 - šširoký rámeček</t>
        </r>
      </text>
    </comment>
    <comment ref="U5" authorId="0" shapeId="0" xr:uid="{91F20843-EBC7-41A8-8F63-F7EE1BBD92B5}">
      <text>
        <r>
          <rPr>
            <b/>
            <sz val="9"/>
            <color indexed="8"/>
            <rFont val="Tahoma"/>
            <family val="2"/>
            <charset val="238"/>
          </rPr>
          <t>Keller Tomáš:</t>
        </r>
        <r>
          <rPr>
            <sz val="9"/>
            <color indexed="8"/>
            <rFont val="Tahoma"/>
            <family val="2"/>
            <charset val="238"/>
          </rPr>
          <t xml:space="preserve">
</t>
        </r>
        <r>
          <rPr>
            <sz val="9"/>
            <color indexed="8"/>
            <rFont val="Tahoma"/>
            <family val="2"/>
            <charset val="238"/>
          </rPr>
          <t xml:space="preserve">1 - všechny skla
</t>
        </r>
        <r>
          <rPr>
            <sz val="9"/>
            <color indexed="8"/>
            <rFont val="Tahoma"/>
            <family val="2"/>
            <charset val="238"/>
          </rPr>
          <t>2 - skla které jsou lepit (ne průhledné)</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<sst xmlns="http://schemas.openxmlformats.org/spreadsheetml/2006/main" count="25388" uniqueCount="5488">
  <si>
    <t>45° clip</t>
  </si>
  <si>
    <t>FGV</t>
  </si>
  <si>
    <t>BLUM</t>
  </si>
  <si>
    <t xml:space="preserve">Šířka </t>
  </si>
  <si>
    <t>Počet kusů</t>
  </si>
  <si>
    <t>Typ skla</t>
  </si>
  <si>
    <t>Sklo</t>
  </si>
  <si>
    <t>Posuvné rámečky</t>
  </si>
  <si>
    <t>Panty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</si>
  <si>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</si>
  <si>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</si>
  <si>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</si>
  <si>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</si>
  <si>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</si>
  <si>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</si>
  <si>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</si>
  <si>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</si>
  <si>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</si>
  <si>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</si>
  <si>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</si>
  <si>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</si>
  <si>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</si>
  <si>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</si>
  <si>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</si>
  <si>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</si>
  <si>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</si>
  <si>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</si>
  <si>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</si>
  <si>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</si>
  <si>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BRW champagne</t>
  </si>
  <si>
    <t>ZC nová</t>
  </si>
  <si>
    <t>Lacobel REF 1603</t>
  </si>
  <si>
    <t>Lacobel RAL 1015</t>
  </si>
  <si>
    <t>Lacobel RAL 5002</t>
  </si>
  <si>
    <t>Lacobel RAL 9010</t>
  </si>
  <si>
    <t>Lacobel REF 0667</t>
  </si>
  <si>
    <t>Lacobel REF 1164</t>
  </si>
  <si>
    <t>Lacobel REF 1435</t>
  </si>
  <si>
    <t>Lacobel RAL 2001</t>
  </si>
  <si>
    <t>Lacobel RAL 3004</t>
  </si>
  <si>
    <t>Lacobel RAL 4006</t>
  </si>
  <si>
    <t>Lacobel REF 0128</t>
  </si>
  <si>
    <t>Lacobel REF 1236</t>
  </si>
  <si>
    <t>Lacobel RAL 7035</t>
  </si>
  <si>
    <t>Lacobel REF 0337</t>
  </si>
  <si>
    <t>Lacobel REF 0627</t>
  </si>
  <si>
    <t>Lacobel REF 1604</t>
  </si>
  <si>
    <t>Lacobel RAL 8017</t>
  </si>
  <si>
    <t>Lacobel RAL 1013</t>
  </si>
  <si>
    <t>Lacobel RAL 1014</t>
  </si>
  <si>
    <t>Lacobel RAL 9003</t>
  </si>
  <si>
    <t>Lacobel RAL 9006</t>
  </si>
  <si>
    <t>Lacobel RAL 9005</t>
  </si>
  <si>
    <t>Lacobel REF 0327</t>
  </si>
  <si>
    <t>Lacobel REF 1586</t>
  </si>
  <si>
    <t>Matelac REF 1435</t>
  </si>
  <si>
    <t>Matelac RAL 9003</t>
  </si>
  <si>
    <t>Matelac RAL 9010</t>
  </si>
  <si>
    <t>Matelac RAL 9006</t>
  </si>
  <si>
    <t>Matelac RAL 7021</t>
  </si>
  <si>
    <t>Matelac RAL 9005</t>
  </si>
  <si>
    <t>Matelac RAL 2001</t>
  </si>
  <si>
    <t>Matelac REF 1586</t>
  </si>
  <si>
    <t>Matelac RAL 3004</t>
  </si>
  <si>
    <t>Jazyk</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</si>
  <si>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</si>
  <si>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</si>
  <si>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</si>
  <si>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</si>
  <si>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</si>
  <si>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</si>
  <si>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</si>
  <si>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</si>
  <si>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</si>
  <si>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</si>
  <si>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</si>
  <si>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HF</t>
  </si>
  <si>
    <t>HK, HS,HL</t>
  </si>
  <si>
    <t>HKS</t>
  </si>
  <si>
    <t>AVENTOS HF</t>
  </si>
  <si>
    <t>AVENTOS HKS</t>
  </si>
  <si>
    <t>AVENTOS HL</t>
  </si>
  <si>
    <t>AVENTOS HS</t>
  </si>
  <si>
    <t>Příplatky úzký</t>
  </si>
  <si>
    <t>Příplatek široký</t>
  </si>
  <si>
    <t>STRONG</t>
  </si>
  <si>
    <t>92590T</t>
  </si>
  <si>
    <t>92580T</t>
  </si>
  <si>
    <t>92581T</t>
  </si>
  <si>
    <t>92582T</t>
  </si>
  <si>
    <t>92594T</t>
  </si>
  <si>
    <t>92583T</t>
  </si>
  <si>
    <t>92591T</t>
  </si>
  <si>
    <t>92595T</t>
  </si>
  <si>
    <t>Naložený clip</t>
  </si>
  <si>
    <t>Polonaložený clip</t>
  </si>
  <si>
    <t>Vložený clip</t>
  </si>
  <si>
    <t>Úhel 45°</t>
  </si>
  <si>
    <t>Naložený</t>
  </si>
  <si>
    <t>Polonaložený</t>
  </si>
  <si>
    <t>Vložený</t>
  </si>
  <si>
    <t>Naložený s opačnou pružinou</t>
  </si>
  <si>
    <t>Vložený s opačnou pružinou</t>
  </si>
  <si>
    <t>Naložený bez pružiny</t>
  </si>
  <si>
    <t>kód</t>
  </si>
  <si>
    <t>název ČR</t>
  </si>
  <si>
    <t>ČR</t>
  </si>
  <si>
    <t>SR</t>
  </si>
  <si>
    <t>PL</t>
  </si>
  <si>
    <t>HU</t>
  </si>
  <si>
    <t>STRONG- NALOŽENÝ CLIP 110°</t>
  </si>
  <si>
    <t>STRONG-POLONALOŽENÝ CLIP 110°</t>
  </si>
  <si>
    <t>STRONG-VLOŽENÝ CLIP 110°</t>
  </si>
  <si>
    <t>STRONG-ZÁVĚS 45° CLIP</t>
  </si>
  <si>
    <t>STRONG-PODLOŽKA CLIP H0 NA VRUT</t>
  </si>
  <si>
    <t>STRONG-PODLOŽKA CLIP H0 S EUROŠROUBEM</t>
  </si>
  <si>
    <t>STRONG-PODLOŽKA CLIP H2 NA VRUT</t>
  </si>
  <si>
    <t>STRONG-PODLOŽKA CLIP H2 S EUROŠROUBEM</t>
  </si>
  <si>
    <t>STRONG- CLIP PODLOŽKA H0 VRUT EXCENTRICK</t>
  </si>
  <si>
    <t>92593T</t>
  </si>
  <si>
    <t>STRONG- CLIP PODLOŽKA H2  K TLUM ZÁV</t>
  </si>
  <si>
    <t>92592T</t>
  </si>
  <si>
    <t>STRONG- CLIP PODLOŽKA H2 VRUT K TLUM ZÁV</t>
  </si>
  <si>
    <t>STRONG- CLIP PODLOŽKA H0 K TLUM ZÁV</t>
  </si>
  <si>
    <t>STRONG- CLIP PODLOŽKA H0 VRUT K TLUM ZÁV</t>
  </si>
  <si>
    <t>STRONG- CLIP NALOŽENÝ ALU S TLUMENÍM</t>
  </si>
  <si>
    <t>STRONG- CLIP 45° NALOŽENÝ S TLUMENÍM</t>
  </si>
  <si>
    <t>STRONG- VLOŽENÝ CLIP 110° S TLUMENÍM</t>
  </si>
  <si>
    <t>STRONG- POLONALOŽENÝ CLIP 110° S TLUMENÍ</t>
  </si>
  <si>
    <t>STRONG- NALOŽENÝ CLIP 110° S TLUMENÍM</t>
  </si>
  <si>
    <t>FGV-PANT NALOŽ. S OTEVÍRACÍ PRUŽINOU</t>
  </si>
  <si>
    <t>FGV-POLONALOŽENÝ NA VRUT 51MS150508C</t>
  </si>
  <si>
    <t>FGV-VLOŽENÝ NA VRUT 51MS150515C</t>
  </si>
  <si>
    <t>FGV-PANT VLOŽENÝ S OTEVÍRACÍ PRUŽINOU</t>
  </si>
  <si>
    <t>FGV-ZÁVĚS 45° 51MS850545C</t>
  </si>
  <si>
    <t>FGV-PODLOŽKA NA VRUT H2 520201M5021</t>
  </si>
  <si>
    <t>FGV-PODLOŽKA S EUROŠR. H2 520216M502D</t>
  </si>
  <si>
    <t>FGV-PODLOŽKA NA VRUT H4 520201M5041</t>
  </si>
  <si>
    <t>FGV-PODLOŽKA S EUROŠR. H4 520216M504D</t>
  </si>
  <si>
    <t>FGV-ZÁVĚS NALOŽENÝ CLIP</t>
  </si>
  <si>
    <t>FGV-ZÁVĚS POLONALOŽENÝ CLIP</t>
  </si>
  <si>
    <t>FGV-ZÁVĚS VLOŽENÝ CLIP</t>
  </si>
  <si>
    <t>FGV-CLIP ALU NAL 51MS9105000U</t>
  </si>
  <si>
    <t>FGV-CLIP ALU POLONAL 51MS910508</t>
  </si>
  <si>
    <t>FGV-CLIP ALU VLOŽ(dod.92989)51MS9105150U</t>
  </si>
  <si>
    <t>FGV-PANT NA ALU RÁMEČKY 45°</t>
  </si>
  <si>
    <t>FGV- PODLOŽKA CLIP H2 52.0401.M5.02.0S00</t>
  </si>
  <si>
    <t>FGV-PODLOŽKA H2 CLIP S EUROŠROUBEM</t>
  </si>
  <si>
    <t>FGV-PODLOŽKA CLIP H4 52.0401.M5.040.S000</t>
  </si>
  <si>
    <t>FGV-PODLOŽKA H4 CLIP S EUROŠROUBEM</t>
  </si>
  <si>
    <t>FGV-ZÁVĚS OPTIMA NALOŽENÝ 110°</t>
  </si>
  <si>
    <t>FGV-ZÁVĚS OPTIMA POLONALOŽENÝ OTEVŘ.110°</t>
  </si>
  <si>
    <t>FGV-ZÁVĚS OPTIMA VLOŽENÝ OTEVŘ.110°</t>
  </si>
  <si>
    <t>FGV-ZÁVĚS OPTIMA 45°</t>
  </si>
  <si>
    <t>FGV-PODLOŽKA K OPTIMA H2 NA VRUT</t>
  </si>
  <si>
    <t>FGV-PODLOŽKA K OPTIMA H4 NA VRUT</t>
  </si>
  <si>
    <t>FGV-PODLOŽKA K OPTIMĚ H2 S EUROŠROUBEM</t>
  </si>
  <si>
    <t>FGV-PODLOŽKA K OPTIMĚ H4 S EUROŠROUBEM</t>
  </si>
  <si>
    <t>BL-79A9658.T+45° I VSAZENÝ CLIP TOP POLO</t>
  </si>
  <si>
    <t>BL-79T5550 +45° II CLIP TOP NALOŽENÝ</t>
  </si>
  <si>
    <t>BL-79A9458.T III +45° CLIP TOP</t>
  </si>
  <si>
    <t>BL-71T960AB ZÁVĚS PRO AL RÁM POLO BLUMO</t>
  </si>
  <si>
    <t>BL-71T5550 NALOŽ. CLIP TOP 120°</t>
  </si>
  <si>
    <t>BL-71T5650 POLONAL. CLIP TOP 120°</t>
  </si>
  <si>
    <t>BL-70T5650 POLO.CLIPTOP 120° BEZ PRUŽINY</t>
  </si>
  <si>
    <t>BL-71T970AB ZÁVĚS PRO AL RÁM VLO BLUMO</t>
  </si>
  <si>
    <t>BL-71T950A ZÁVĚS TOP CLIP ALU RÁM 94°NAL</t>
  </si>
  <si>
    <t>BL-71T960A POLONAL. CLIP TOP ALU RÁM.95°</t>
  </si>
  <si>
    <t>BL-71T970A VLOŽ. CLIP TOP HLIN. DVÍŘKA</t>
  </si>
  <si>
    <t>BL-71M2550 NALOŽENÝ    CLIP 100°</t>
  </si>
  <si>
    <t>BL-71M2650 POLONALOŽ. CLIP 100°</t>
  </si>
  <si>
    <t>BL-71M2750 VLOŽENÝ      CLIP 100°</t>
  </si>
  <si>
    <t>BL-173L6100 PODLOŽKA CLIP 8,5mm kříž</t>
  </si>
  <si>
    <t>BL-173L8100 PODLOŽKA CLIP S EURO 8,5mm</t>
  </si>
  <si>
    <t>BL-175H5400 PODLOŽKA CLIP PŘÍMÁ</t>
  </si>
  <si>
    <t>BL-175H9160 PODLOŽKA CLIP 14,5mm</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</si>
  <si>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</si>
  <si>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</si>
  <si>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</si>
  <si>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</si>
  <si>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</si>
  <si>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</si>
  <si>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</si>
  <si>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</si>
  <si>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</si>
  <si>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</si>
  <si>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</si>
  <si>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</si>
  <si>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</si>
  <si>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</si>
  <si>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</si>
  <si>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</si>
  <si>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</si>
  <si>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FGV-NALOŽENÝ NA VRUT 51MS150500C</t>
  </si>
  <si>
    <t>Výrobce závěsů</t>
  </si>
  <si>
    <t>Typ závěsů</t>
  </si>
  <si>
    <t>Typ Aventosu</t>
  </si>
  <si>
    <t>Typ podložky</t>
  </si>
  <si>
    <t>Dodat včetně uvedeného kování</t>
  </si>
  <si>
    <t>Gamma 30N</t>
  </si>
  <si>
    <t>Gamma 60N</t>
  </si>
  <si>
    <t>Gamma 80N</t>
  </si>
  <si>
    <t>Gamma 100N</t>
  </si>
  <si>
    <t>Gamma 120N</t>
  </si>
  <si>
    <t>Gamma adaptér ALU</t>
  </si>
  <si>
    <t>45N Kraby 244</t>
  </si>
  <si>
    <t>60N Kraby 244</t>
  </si>
  <si>
    <t>90N Kraby 244</t>
  </si>
  <si>
    <t>120N Kraby 244</t>
  </si>
  <si>
    <t>Zvedací písty</t>
  </si>
  <si>
    <t>Umístění pístů</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</si>
  <si>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</si>
  <si>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</si>
  <si>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</si>
  <si>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</si>
  <si>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</si>
  <si>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</si>
  <si>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</si>
  <si>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</si>
  <si>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</si>
  <si>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</si>
  <si>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</si>
  <si>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</si>
  <si>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STRONG 30N</t>
  </si>
  <si>
    <t>STRONG 60N</t>
  </si>
  <si>
    <t>STRONG 80N</t>
  </si>
  <si>
    <t>STRONG 100N</t>
  </si>
  <si>
    <t>STRONG 120N</t>
  </si>
  <si>
    <t>Vyberte ze seznamu</t>
  </si>
  <si>
    <t>TYÈ ŠATNÍ OVÁLNÁ  15/22/3000 - TA01</t>
  </si>
  <si>
    <t>KS</t>
  </si>
  <si>
    <t>TYÈ ŠATNÍ OVÁLNÁ  15/22/798 - TA03</t>
  </si>
  <si>
    <t>TYÈ ŠATNÍ OVÁLNÁ  15/22/618 - TA03</t>
  </si>
  <si>
    <t>TYÈ ŠATNÍ OVÁLNÁ  15/22/900 - TA03</t>
  </si>
  <si>
    <t>TYÈ ŠATNÍ OVÁLNÁ  15/22/822 - TA03</t>
  </si>
  <si>
    <t>DRŽÁK ŠAT.TYÈE OVÁLNÉ - RT03 pr 15 CHROM</t>
  </si>
  <si>
    <t>TYÈ ŠATNÍ OVÁLNÁ  15/22/374 - TA03</t>
  </si>
  <si>
    <t>TYÈ ŠATNÍ pr.18mm BÍLÁ  300cm</t>
  </si>
  <si>
    <t>TYÈ ŠATNÍ pr.18mm HNÌDÁ  300cm</t>
  </si>
  <si>
    <t>DRŽÁK ŠAT. TYÈE KRUH. RT 05 pr. 18 BÍLÝ</t>
  </si>
  <si>
    <t>DRŽÁK NA SKLO MV07</t>
  </si>
  <si>
    <t>DRŽÁK ŠAT. TYÈE KRUH. RT05 pr. 18 HNÌDÝ</t>
  </si>
  <si>
    <t>TYÈ ŠATNÍ 30/15/3000mm OVÁL  CR</t>
  </si>
  <si>
    <t>TYÈ ŠATNÍ KRUH 25/3000mm CHROM</t>
  </si>
  <si>
    <t>DRŽÁK ŠAT. KRUH TYÈE PR.25mm CHROM</t>
  </si>
  <si>
    <t>TYÈ ŠATNÍ SKLOPNÁ M01  83-115</t>
  </si>
  <si>
    <t>TYÈ ŠATNÍ SKLOPNÁ  M02  60-83</t>
  </si>
  <si>
    <t>DRŽÁK ŠATNÍ TYÈE  MC 160</t>
  </si>
  <si>
    <t>DRŽÁK ŠATNÍ TYÈE OVÁLNÉ 30/15</t>
  </si>
  <si>
    <t>TYÈ ŠATNÍ KRUH.  BÍLÁ, PR. 25 MM</t>
  </si>
  <si>
    <t>PLAST. NAR. KLUZÁK CER.SC01 - ÈERNÝ</t>
  </si>
  <si>
    <t>PANT K SYSTÉMU HUWILIFT FOLD - DVÍØKA</t>
  </si>
  <si>
    <t>KLOUB.ZVEDÁK HUWIL-DØEV.DVÍØKA+P02+P04</t>
  </si>
  <si>
    <t>KLOUB.ZVEDÁK HUWIL ALU DVÍØKA</t>
  </si>
  <si>
    <t>TYÈ ŠATNÍ SKLOPNÁ M03 45-60</t>
  </si>
  <si>
    <t>VÝKLOP.ŠAT.MECHAN. M01</t>
  </si>
  <si>
    <t>ZVEDACÍ PÍST DVÍØEK XA 080 Nnahr-15531</t>
  </si>
  <si>
    <t>ZDVÍHACÍ PIEST DVIEROK XA 100 N nahr 155</t>
  </si>
  <si>
    <t>ZVEDACÍ PÍST DVÍØEK XA150-150 N</t>
  </si>
  <si>
    <t>FGV-KLOUB. ZVED. DVÍØEK DØEV I ALU</t>
  </si>
  <si>
    <t>EUROŠROUB dl.30mm VE08</t>
  </si>
  <si>
    <t>ZVEDACÍ PÍST DVÍØEK 064637 80 N</t>
  </si>
  <si>
    <t>ZVEDACÍ PÍST DVÍØEK 063638 100 N</t>
  </si>
  <si>
    <t>PÍST ZVEDACÍ 30N GAMMA</t>
  </si>
  <si>
    <t>PÍST ZVEDACÍ 60N GAMMA</t>
  </si>
  <si>
    <t>PÍST ZVEDACÍ 80N GAMMA</t>
  </si>
  <si>
    <t>PÍST ZVEDACÍ 100N GAMMA</t>
  </si>
  <si>
    <t>PÍST ZVEDACÍ 120N GAMMA</t>
  </si>
  <si>
    <t>ADAPTER PÍSTU GAMMA NA ALU RÁMEÈKY</t>
  </si>
  <si>
    <t>PÍST ZVEDACÍ GAMMA 60N MALÝ GA02K2</t>
  </si>
  <si>
    <t>PÍST ZVEDACÍ 80 N GAMMA MALÝ</t>
  </si>
  <si>
    <t>DRŽÁK ŠATNÍ TYÈE OVÁL STOPKOVÝ</t>
  </si>
  <si>
    <t>DRŽÁK ŠATNÍ TYÈE OVÁL - 036A Cr.</t>
  </si>
  <si>
    <t>HT- 40262</t>
  </si>
  <si>
    <t>HT- 60233</t>
  </si>
  <si>
    <t>TYÈ ŠATNÍ SKLOPNÁ EGO</t>
  </si>
  <si>
    <t>TYÈ ŠATNÍ SKLOPNÁ PRAVÁ M04</t>
  </si>
  <si>
    <t>TYÈ ŠATNÍ SKLOPNÁ LEVÁ M05</t>
  </si>
  <si>
    <t>HT - 44106</t>
  </si>
  <si>
    <t>HT- 60230</t>
  </si>
  <si>
    <t>KOL-RU75 koleèko pr.75mm  s gumou+15552</t>
  </si>
  <si>
    <t>KOL-RU76 kol. pr.75mm/brzda  s gum+15552</t>
  </si>
  <si>
    <t>KOL-PV04 plotnièka 42*42 mm pro 15550-1</t>
  </si>
  <si>
    <t>HT- 60231</t>
  </si>
  <si>
    <t>TYÈ ŠATNÍ 30/15/3000mm OVÁLNÁ chrom</t>
  </si>
  <si>
    <t>PÍST ZVEDACÍ 30 N GAMMA STØÍBRNÝ</t>
  </si>
  <si>
    <t>PÍST ZVEDACÍ  60N GAMMA STØÍBRNÝ</t>
  </si>
  <si>
    <t>PÍST ZVEDACÍ  80N GAMMA STØÍBRNÝ</t>
  </si>
  <si>
    <t>PÍST ZVEDACÍ  100N GAMMA STØÍBRNÝ(15536)</t>
  </si>
  <si>
    <t>PÍST ZVEDACÍ 120 N GAMMA STØÍBRNÝ</t>
  </si>
  <si>
    <t>PÍST ZVEDACÍ GAMMA 200N STØ. PLAST.KONC.</t>
  </si>
  <si>
    <t>TYÈ ŠATNÍ SKLOPNÁ M01 šedé boèní plasty</t>
  </si>
  <si>
    <t>TYÈ ŠATNÍ CHROM 25mm kulatá 2,85m</t>
  </si>
  <si>
    <t>TYÈ ŠATNÍ CHROM 30x15 mm 2.85m ovál</t>
  </si>
  <si>
    <t>TUKAN MV14 - PRO SKL. POLICE CHROM</t>
  </si>
  <si>
    <t>TUKAN MV15 - PRO SKL. POLICE SATIN CHROM</t>
  </si>
  <si>
    <t>TUKAN MV17 - PRO SKL. POLICE SATIN CHROM</t>
  </si>
  <si>
    <t>TUKAN MV16 - PRO SKL. POLICE SATIN CHROM</t>
  </si>
  <si>
    <t>TUKAN SU13 - PRO SKL. POLICE SATIN CHROM</t>
  </si>
  <si>
    <t>TUKAN SU02 - SATIN CHROM</t>
  </si>
  <si>
    <t>TUKAN SU09 - SATIN CHROM</t>
  </si>
  <si>
    <t>TUKAN SU15 - 20 SATIN CHROM</t>
  </si>
  <si>
    <t>TUKAN SU16 - 40 SATIN CHROM</t>
  </si>
  <si>
    <t>TUKAN SU17 - 26 SATIN CHROM</t>
  </si>
  <si>
    <t>TUKAN SU18 - 24 SATIN CHROM</t>
  </si>
  <si>
    <t>TUKAN SU19 - 16 SATIN CHROM</t>
  </si>
  <si>
    <t>TUKAN SU20 - 16 SATIN CHROM</t>
  </si>
  <si>
    <t>PODPÌRA POLICE SU14 - SATIN CHROM</t>
  </si>
  <si>
    <t>PAR</t>
  </si>
  <si>
    <t>IF-PODPÌRA NA SKL.POLICE COBRA  NIKL</t>
  </si>
  <si>
    <t>IF-PODPÌRA PRO DRŽÁK TRIADE</t>
  </si>
  <si>
    <t>STRONG-PLYNOVÝ PÍST 30N + pøidat 15585</t>
  </si>
  <si>
    <t>STRONG-PLYNOVÝ PÍST 60N + pøidat 15585</t>
  </si>
  <si>
    <t>STRONG-PLYNOVÝ PÍST 80N + pøidat 15585</t>
  </si>
  <si>
    <t>STRONG-PLYNOVÝ PÍST 100N + pøidat 15585</t>
  </si>
  <si>
    <t>STRONG-PLYNOVÝ PÍST 120N + pøidat 15585</t>
  </si>
  <si>
    <t>STRONG-SADA PØÍCHYTÙ DVÍØEK PLYN. PÍST</t>
  </si>
  <si>
    <t>SAD</t>
  </si>
  <si>
    <t>HUWIL - plastový ND k výklopùm</t>
  </si>
  <si>
    <t>IF-KRABY 164 SPODNÍ KLOPNA</t>
  </si>
  <si>
    <t>IF-KRABY 355 SPODNÍ KLOPNA</t>
  </si>
  <si>
    <t>IF-KRABY 244 POLOH. KLOPNA 45N</t>
  </si>
  <si>
    <t>IF-KRABY 244 POLOH. KLOPNA 60N</t>
  </si>
  <si>
    <t>IF-KRABY 244 POLOH. KLOPNA 90N</t>
  </si>
  <si>
    <t>IF-KRABY 244 POLOH.KLOPNA 120N</t>
  </si>
  <si>
    <t>IF-KRABY 244 SPODNÍ KLOPNA</t>
  </si>
  <si>
    <t>IF-KRABY 244 PØÍCHYT DVÍØEK</t>
  </si>
  <si>
    <t>IF-KRABY 244 PØÍCHYT NA KORPUS</t>
  </si>
  <si>
    <t>IF-KRABY 244 ADAPTÉR PRO TENKÝ ALU RÁMEK</t>
  </si>
  <si>
    <t>IF-KRABY 244 MONTÁŽNÍ VRUT 5X10,5 SAMOØ</t>
  </si>
  <si>
    <t>IF-KRABY 244 MONTÁŽNÍ VRUT 3,9X32 SAMOØE</t>
  </si>
  <si>
    <t>Kód</t>
  </si>
  <si>
    <t>MJ</t>
  </si>
  <si>
    <t>CZ</t>
  </si>
  <si>
    <t>SK</t>
  </si>
  <si>
    <t>Strong sada příchytek na dvířka</t>
  </si>
  <si>
    <t>Příchyt dveří</t>
  </si>
  <si>
    <t>Příchyt korpus</t>
  </si>
  <si>
    <t>adaptér ALU</t>
  </si>
  <si>
    <t>Vrut pro adaptér ALU</t>
  </si>
  <si>
    <t>Vrut pro příchyt ALU</t>
  </si>
  <si>
    <t>Provedení druhého dvířka</t>
  </si>
  <si>
    <t>Počet závěsu na 1 rámeček</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</si>
  <si>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</si>
  <si>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</si>
  <si>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</si>
  <si>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</si>
  <si>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</si>
  <si>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</si>
  <si>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</si>
  <si>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</si>
  <si>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</si>
  <si>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</si>
  <si>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</si>
  <si>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</si>
  <si>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</si>
  <si>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</si>
  <si>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</si>
  <si>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</si>
  <si>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</si>
  <si>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</si>
  <si>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</si>
  <si>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</si>
  <si>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</si>
  <si>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</si>
  <si>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</si>
  <si>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</si>
  <si>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</si>
  <si>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</si>
  <si>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</si>
  <si>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</si>
  <si>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</si>
  <si>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</si>
  <si>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</si>
  <si>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</si>
  <si>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</si>
  <si>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</si>
  <si>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BRW szampańska</t>
  </si>
  <si>
    <t>BRW INOX</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</si>
  <si>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</si>
  <si>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</si>
  <si>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</si>
  <si>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</si>
  <si>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</si>
  <si>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</si>
  <si>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</si>
  <si>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</si>
  <si>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</si>
  <si>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</si>
  <si>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</si>
  <si>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</si>
  <si>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</si>
  <si>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</si>
  <si>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</si>
  <si>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</si>
  <si>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</si>
  <si>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</si>
  <si>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</si>
  <si>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</si>
  <si>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</si>
  <si>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</si>
  <si>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</si>
  <si>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</si>
  <si>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</si>
  <si>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</si>
  <si>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</si>
  <si>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</si>
  <si>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</si>
  <si>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</si>
  <si>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</si>
  <si>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</si>
  <si>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</si>
  <si>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</si>
  <si>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</si>
  <si>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</si>
  <si>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</si>
  <si>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Umiestnenie piestov</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</si>
  <si>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</si>
  <si>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</si>
  <si>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</si>
  <si>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</si>
  <si>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</si>
  <si>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</si>
  <si>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</si>
  <si>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</si>
  <si>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</si>
  <si>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</si>
  <si>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</si>
  <si>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Vyberte zo zoznamu</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</si>
  <si>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</si>
  <si>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</si>
  <si>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</si>
  <si>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</si>
  <si>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</si>
  <si>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</si>
  <si>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</si>
  <si>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</si>
  <si>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</si>
  <si>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</si>
  <si>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</si>
  <si>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</si>
  <si>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ramka</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</si>
  <si>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</si>
  <si>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</si>
  <si>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</si>
  <si>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</si>
  <si>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</si>
  <si>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</si>
  <si>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</si>
  <si>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</si>
  <si>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</si>
  <si>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</si>
  <si>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</si>
  <si>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</si>
  <si>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</si>
  <si>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</si>
  <si>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</si>
  <si>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</si>
  <si>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</si>
  <si>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</si>
  <si>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</si>
  <si>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</si>
  <si>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</si>
  <si>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</si>
  <si>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</si>
  <si>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</si>
  <si>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</si>
  <si>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</si>
  <si>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</si>
  <si>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</si>
  <si>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</si>
  <si>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</si>
  <si>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Podwyższony o 6mm</t>
  </si>
  <si>
    <t xml:space="preserve">Clip na wkręt euro H0 </t>
  </si>
  <si>
    <t>Clip na wkręt H0</t>
  </si>
  <si>
    <t>Pozycja ramki</t>
  </si>
  <si>
    <t>Marka zawiasu</t>
  </si>
  <si>
    <t>Rodzaj zawiasu</t>
  </si>
  <si>
    <t>Rodzaj Aventosu</t>
  </si>
  <si>
    <t>Rodzaj prowadnika</t>
  </si>
  <si>
    <t>Ilość zawiasów na 1 ramkę</t>
  </si>
  <si>
    <t>Podnośniki gazowe</t>
  </si>
  <si>
    <t>Umieszczenie podnośnika</t>
  </si>
  <si>
    <t>W prawo</t>
  </si>
  <si>
    <t>W lewo</t>
  </si>
  <si>
    <t>2 sztuki (obydwie strony)</t>
  </si>
  <si>
    <t>Wąska ALU ramka</t>
  </si>
  <si>
    <t>Szeroka ALU ramka</t>
  </si>
  <si>
    <t>MDF grubość 16mm</t>
  </si>
  <si>
    <t>MDF grubość 18mm</t>
  </si>
  <si>
    <t>DTDL grubość 18mm</t>
  </si>
  <si>
    <t>Umieszczenie zawiasu</t>
  </si>
  <si>
    <t>Na górze</t>
  </si>
  <si>
    <t>Na dole</t>
  </si>
  <si>
    <t>Wybierz z listy</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</si>
  <si>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</si>
  <si>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</si>
  <si>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</si>
  <si>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</si>
  <si>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</si>
  <si>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</si>
  <si>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</si>
  <si>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</si>
  <si>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</si>
  <si>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</si>
  <si>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</si>
  <si>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</si>
  <si>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stříbr.</t>
  </si>
  <si>
    <t>Matelac lustro grafit</t>
  </si>
  <si>
    <t>Matelac zrkadlo bronz</t>
  </si>
  <si>
    <t>Matelac zrkadlo stříbr.</t>
  </si>
  <si>
    <t>Matelac zrkadlo grafit</t>
  </si>
  <si>
    <t xml:space="preserve">Vyplňte pouze pokud nebude vrtání symetricky na střed </t>
  </si>
  <si>
    <t>Typ okucia</t>
  </si>
  <si>
    <t>Rodzaj drugiej ramki</t>
  </si>
  <si>
    <t>Dostarczyć łącznie z podanymi okuciami meblowymi</t>
  </si>
  <si>
    <t>Üveg típus</t>
  </si>
  <si>
    <t>Darab szám</t>
  </si>
  <si>
    <t>Szélesség</t>
  </si>
  <si>
    <t>Magasság</t>
  </si>
  <si>
    <t>A keretek ára összesen</t>
  </si>
  <si>
    <t>A vasalat ára összesen</t>
  </si>
  <si>
    <t>A megrendelés teljes ára</t>
  </si>
  <si>
    <t>Alsó ajtó</t>
  </si>
  <si>
    <t>Ráütődő klip</t>
  </si>
  <si>
    <t>Féligráütődő klip</t>
  </si>
  <si>
    <t>Közzézáródó klip</t>
  </si>
  <si>
    <t>Szög 45°</t>
  </si>
  <si>
    <t>Ráütődő</t>
  </si>
  <si>
    <t>Féligráütődő</t>
  </si>
  <si>
    <t>Közzézáródó</t>
  </si>
  <si>
    <t>Ráütődő ellenrugóval</t>
  </si>
  <si>
    <t>Közzézáródó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</si>
  <si>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</si>
  <si>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</si>
  <si>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</si>
  <si>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</si>
  <si>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</si>
  <si>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</si>
  <si>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</si>
  <si>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</si>
  <si>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</si>
  <si>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</si>
  <si>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45° clip Féligráütődő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</si>
  <si>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</si>
  <si>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</si>
  <si>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</si>
  <si>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</si>
  <si>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</si>
  <si>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</si>
  <si>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</si>
  <si>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</si>
  <si>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</si>
  <si>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</si>
  <si>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Aventosz típusa</t>
  </si>
  <si>
    <t>Az alátét típusa</t>
  </si>
  <si>
    <t>A pántok száma 1 keretre</t>
  </si>
  <si>
    <t>Gázrugós felnyitók</t>
  </si>
  <si>
    <t>Szállítani vasalattal</t>
  </si>
  <si>
    <t>A gázrugós felnyitók elhelyezése</t>
  </si>
  <si>
    <t xml:space="preserve">Jobbra </t>
  </si>
  <si>
    <t>Balra</t>
  </si>
  <si>
    <t>2 darab (mind a két oldalra)</t>
  </si>
  <si>
    <t>A másik ajtó kivitele</t>
  </si>
  <si>
    <t>Keskeny ALU keret</t>
  </si>
  <si>
    <t>Széles ALU keret</t>
  </si>
  <si>
    <t>MDF vastagság 16 mm</t>
  </si>
  <si>
    <t>MDF vastagság 18 mm</t>
  </si>
  <si>
    <t>DTDL vastagság 18 mm</t>
  </si>
  <si>
    <t>A pántok elhelyezése</t>
  </si>
  <si>
    <t>Fölül</t>
  </si>
  <si>
    <t>Alul</t>
  </si>
  <si>
    <t>Válassza ki a listából</t>
  </si>
  <si>
    <t>A pánt távolsága a peremtől</t>
  </si>
  <si>
    <t>Töltse ki abban az esetben, amennyiben a fúrás nem lesz szimetrikus a középre</t>
  </si>
  <si>
    <t xml:space="preserve">A nyomtatvány kitöltésénél mindig haladjon fentről le. Amennyiben valami változást ír be a nyomtatványba, ellenőrizze az összes adatokat, hogy rendben vannak-e. </t>
  </si>
  <si>
    <t>Ár összesen</t>
  </si>
  <si>
    <t>Vevő</t>
  </si>
  <si>
    <t>Kontakt telefon</t>
  </si>
  <si>
    <t>Kontakt e-mail</t>
  </si>
  <si>
    <t>Szállítási cím</t>
  </si>
  <si>
    <t>Engedmény a keretekre</t>
  </si>
  <si>
    <t>Engedmény a vasalatokra</t>
  </si>
  <si>
    <t>A megrendelés száma</t>
  </si>
  <si>
    <t>BRW pezsgő</t>
  </si>
  <si>
    <t>BRW nemesacél csiszolt</t>
  </si>
  <si>
    <t>Tükör</t>
  </si>
  <si>
    <t>Matelac tükör bronz</t>
  </si>
  <si>
    <t>Matelac tükör stříbr.</t>
  </si>
  <si>
    <t>Matelac tükör grafit</t>
  </si>
  <si>
    <t>FGV-Aero Wing</t>
  </si>
  <si>
    <t>AW007</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</si>
  <si>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</si>
  <si>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</si>
  <si>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</si>
  <si>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</si>
  <si>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</si>
  <si>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</si>
  <si>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</si>
  <si>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</si>
  <si>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</si>
  <si>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</si>
  <si>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</si>
  <si>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</si>
  <si>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</si>
  <si>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</si>
  <si>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keret</t>
  </si>
  <si>
    <t>Profil típus</t>
  </si>
  <si>
    <t>Wypełnij jedynie w przypadku, że wiercenie nie będzie symetryczne w stosunku do środka</t>
  </si>
  <si>
    <t>Rameczki przesuwne</t>
  </si>
  <si>
    <t>Wewnętrzne rozmiary szafki (mm)</t>
  </si>
  <si>
    <t xml:space="preserve">Ilość dzwi </t>
  </si>
  <si>
    <t>kolor</t>
  </si>
  <si>
    <t>Zamówienie ALU</t>
  </si>
  <si>
    <t>Kolory LACOBEL i MATELAC</t>
  </si>
  <si>
    <t>Töltse ki abban az esetben, ha a fúrás nem lesz szimmetrikus a középre</t>
  </si>
  <si>
    <t>Csúsztatható keretek</t>
  </si>
  <si>
    <t>A megrendelés standart van szállítva a vasalattal és a vezető profilokkal</t>
  </si>
  <si>
    <t xml:space="preserve">A szekrény belső mérete (mm)  </t>
  </si>
  <si>
    <t>Az ajtók száma</t>
  </si>
  <si>
    <t>szín</t>
  </si>
  <si>
    <t>Megrendelés ALU</t>
  </si>
  <si>
    <t>LACOBEL és MATELAC színek</t>
  </si>
  <si>
    <t>BL-70T5550.TL NAL.CLIPTOP120° BEZ PRUŽIN</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</si>
  <si>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</si>
  <si>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</si>
  <si>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</si>
  <si>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</si>
  <si>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</si>
  <si>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</si>
  <si>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</si>
  <si>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</si>
  <si>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</si>
  <si>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</si>
  <si>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</si>
  <si>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</si>
  <si>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</si>
  <si>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</si>
  <si>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</si>
  <si>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</si>
  <si>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</si>
  <si>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</si>
  <si>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BL-70T950A.TL ZÁVĚS NALOŽ. AL pro TipOn</t>
  </si>
  <si>
    <t xml:space="preserve"> </t>
  </si>
  <si>
    <t>Modena</t>
  </si>
  <si>
    <t>Modena INOX</t>
  </si>
  <si>
    <t>Modena nemesacél csiszolt</t>
  </si>
  <si>
    <t>Modena černá broušená</t>
  </si>
  <si>
    <t>Modena čierna brúsená</t>
  </si>
  <si>
    <t>Modena czarna szczotka</t>
  </si>
  <si>
    <t>Modena fekete csiszolt</t>
  </si>
  <si>
    <t>Verona</t>
  </si>
  <si>
    <t>Verona champagne</t>
  </si>
  <si>
    <t>Verona szampańska</t>
  </si>
  <si>
    <t>Verona pezsgő</t>
  </si>
  <si>
    <t>Verona černá lesk</t>
  </si>
  <si>
    <t>Verona čierna lesk</t>
  </si>
  <si>
    <t>Verona czarny połysk</t>
  </si>
  <si>
    <t>Verona fekete fényes</t>
  </si>
  <si>
    <t>Verona brúsená</t>
  </si>
  <si>
    <t>Verona szczotkowane</t>
  </si>
  <si>
    <t>Verona csiszolt</t>
  </si>
  <si>
    <t>Verona nerez brúsená</t>
  </si>
  <si>
    <t>Verona szczotkowane Inox</t>
  </si>
  <si>
    <t>Verona nemesacél csiszolt</t>
  </si>
  <si>
    <t>Vivaro</t>
  </si>
  <si>
    <t>Vivaro INOX</t>
  </si>
  <si>
    <t>Vivaro nemesacél csiszolt</t>
  </si>
  <si>
    <t>Pisa</t>
  </si>
  <si>
    <t>Corleone</t>
  </si>
  <si>
    <t>Corleone czarne</t>
  </si>
  <si>
    <t>Palio</t>
  </si>
  <si>
    <t>Siena</t>
  </si>
  <si>
    <t>Rocca</t>
  </si>
  <si>
    <t>Imola</t>
  </si>
  <si>
    <t>Čiré</t>
  </si>
  <si>
    <t>Číre</t>
  </si>
  <si>
    <t>Czyste</t>
  </si>
  <si>
    <t>Átlátszó Üveg</t>
  </si>
  <si>
    <t>Pisek</t>
  </si>
  <si>
    <t>Satinato</t>
  </si>
  <si>
    <t>Lakomat</t>
  </si>
  <si>
    <t>Zrcadlo</t>
  </si>
  <si>
    <t>Zrkadlo</t>
  </si>
  <si>
    <t>Lustro</t>
  </si>
  <si>
    <t>Master (Carre)</t>
  </si>
  <si>
    <t xml:space="preserve">Master  Lens </t>
  </si>
  <si>
    <t>Master  Ligne</t>
  </si>
  <si>
    <t>Master  Point</t>
  </si>
  <si>
    <t xml:space="preserve">Master  Ray </t>
  </si>
  <si>
    <t>Master  Shine</t>
  </si>
  <si>
    <t>Antisol bronz</t>
  </si>
  <si>
    <t>Antisol grafit</t>
  </si>
  <si>
    <t>Závěsy</t>
  </si>
  <si>
    <t>Závesy</t>
  </si>
  <si>
    <t>Zawiasy</t>
  </si>
  <si>
    <t>Pántok</t>
  </si>
  <si>
    <t>Aventos ostatní</t>
  </si>
  <si>
    <t>Aventos ostatné</t>
  </si>
  <si>
    <t>Aventos - pozostałe</t>
  </si>
  <si>
    <t>Aventosz többi</t>
  </si>
  <si>
    <t>Závěsy se zvedacím pístem</t>
  </si>
  <si>
    <t>Závesy so sdvíhacím piestom</t>
  </si>
  <si>
    <t>Zawias z podnośnikiem pneumatycznym</t>
  </si>
  <si>
    <t>Pántok gázrugós felnyitóval</t>
  </si>
  <si>
    <t>Felső ajtó</t>
  </si>
  <si>
    <t>Zrcadlo + bezpečnostní fólie</t>
  </si>
  <si>
    <t>AVENTOS HF Servo Drive</t>
  </si>
  <si>
    <t>AVENTOS HKS TIP ON</t>
  </si>
  <si>
    <t>AVENTOS HL Servo Drive</t>
  </si>
  <si>
    <t>AVENTOS HS Servo Drive</t>
  </si>
  <si>
    <t>Uvedené ceny jsou bez DPH a nezahrnují cenu požadovaného kování!</t>
  </si>
  <si>
    <t>Horní</t>
  </si>
  <si>
    <t>Spodní</t>
  </si>
  <si>
    <t>KRABY 164 45N</t>
  </si>
  <si>
    <t>KRABY 164 60N</t>
  </si>
  <si>
    <t>KRABY 244 45N</t>
  </si>
  <si>
    <t>KRABY 244 60N</t>
  </si>
  <si>
    <t>KRABY 244 90N</t>
  </si>
  <si>
    <t>KRABY 244 120N</t>
  </si>
  <si>
    <t>KRABY 355 45N</t>
  </si>
  <si>
    <t>KRABY 355 60N</t>
  </si>
  <si>
    <t>KRABY 355 90N</t>
  </si>
  <si>
    <t>KRABY 355 120N</t>
  </si>
  <si>
    <t>Široký přísl.</t>
  </si>
  <si>
    <t>Úzký přísl.</t>
  </si>
  <si>
    <t>Použití</t>
  </si>
  <si>
    <t>(15580+15585)</t>
  </si>
  <si>
    <t>(15581+15585)</t>
  </si>
  <si>
    <t>(15582+15585)</t>
  </si>
  <si>
    <t>(15583+15585)</t>
  </si>
  <si>
    <t>(15584+15585)</t>
  </si>
  <si>
    <t>(15490+15490)</t>
  </si>
  <si>
    <t>HUWILIFT MAXI (A)</t>
  </si>
  <si>
    <t>HUWILIFT MAXI (B)</t>
  </si>
  <si>
    <t>HUWILIFT MAXI (D)</t>
  </si>
  <si>
    <t>(135041+135044+135024)</t>
  </si>
  <si>
    <t>(135042+135044+135024)</t>
  </si>
  <si>
    <t>(135043+135044+135024)</t>
  </si>
  <si>
    <t>(135040+135044+135045)</t>
  </si>
  <si>
    <t>(135041+135044+135045)</t>
  </si>
  <si>
    <t>(135042+135044+135045)</t>
  </si>
  <si>
    <t>(135043+135044+135045)</t>
  </si>
  <si>
    <t>(135040+135044+135024)</t>
  </si>
  <si>
    <t>(135006+15595+15596)</t>
  </si>
  <si>
    <t>(135007+15595+15596)</t>
  </si>
  <si>
    <t>(15590+15595+15596)</t>
  </si>
  <si>
    <t>(15591+15595+15596)</t>
  </si>
  <si>
    <t>(15592+15595+15596)</t>
  </si>
  <si>
    <t>(15593+15595+15596)</t>
  </si>
  <si>
    <t>(135008+15595+15596)</t>
  </si>
  <si>
    <t>(135009+15595+15596)</t>
  </si>
  <si>
    <t>(135010+15595+15596)</t>
  </si>
  <si>
    <t>(135011+15595+15596)</t>
  </si>
  <si>
    <t>(15588+15595+15596)</t>
  </si>
  <si>
    <t>(15594+15595+15596)</t>
  </si>
  <si>
    <t>(15589+15595+15596)</t>
  </si>
  <si>
    <t>(135017+135019+135024)</t>
  </si>
  <si>
    <t>(135017+135019+135021)</t>
  </si>
  <si>
    <t>HUWILIFT MAXI (C )</t>
  </si>
  <si>
    <t>KRABY 164</t>
  </si>
  <si>
    <t>KRABY 244</t>
  </si>
  <si>
    <t>KRABY 355</t>
  </si>
  <si>
    <t>Oba</t>
  </si>
  <si>
    <t>spodní</t>
  </si>
  <si>
    <t>spodné</t>
  </si>
  <si>
    <t>Dolne</t>
  </si>
  <si>
    <t>Alsó</t>
  </si>
  <si>
    <t>92584T</t>
  </si>
  <si>
    <t>Minimální vzdálenost umístění závěsů</t>
  </si>
  <si>
    <t>BL-71B950A clip alu, 95° Nalož.,Integr</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</si>
  <si>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</si>
  <si>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</si>
  <si>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</si>
  <si>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</si>
  <si>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</si>
  <si>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</si>
  <si>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</si>
  <si>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</si>
  <si>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</si>
  <si>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</si>
  <si>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</si>
  <si>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</si>
  <si>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</si>
  <si>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Vždy používejte aktuální verzi formuláře, který je dostupný na našich stánkách.</t>
  </si>
  <si>
    <t>Maximální doporučený rozměr rámečku je 2000 x 600 mm (v případě rámečků s nalepeným sklem 1800 x 600 mm)</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</si>
  <si>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</si>
  <si>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</si>
  <si>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</si>
  <si>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</si>
  <si>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</si>
  <si>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</si>
  <si>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Výška rámečku je standardně o 6 mm menší, než uvedená vnitřní výška skříňky.</t>
  </si>
  <si>
    <t>Sada kování na úzký rámeček H27AL (88630)</t>
  </si>
  <si>
    <t>Sada kování na široký rámeček H37AL (88631)</t>
  </si>
  <si>
    <t>Standardně jsou rámečky připraveny pro posuvné kování H27AL (nosnost 25 kg na rámeček) a H37AL (nosnost 35 kg na rámeček)</t>
  </si>
  <si>
    <t>Horní vedení délka 2 m (87313)</t>
  </si>
  <si>
    <t>Horní vedení délka 3 m (87312)</t>
  </si>
  <si>
    <t>Spodní vedení délka 2 m (87315)</t>
  </si>
  <si>
    <t>Spodní vedení délka 3 m (87314)</t>
  </si>
  <si>
    <t>Typ rámečku</t>
  </si>
  <si>
    <t>Široký</t>
  </si>
  <si>
    <t>Úzký</t>
  </si>
  <si>
    <t>2 vedení (2 m)</t>
  </si>
  <si>
    <t>2 vedení (3 m)</t>
  </si>
  <si>
    <t>Jedno vedení 2m</t>
  </si>
  <si>
    <t>Jiný požadavek (ks)</t>
  </si>
  <si>
    <t>Zde jsou uvedeny standardní přesahy dvířek</t>
  </si>
  <si>
    <t>Standardowe prześwity drzwi</t>
  </si>
  <si>
    <t>Itt vannak megadva az ajtó standart átnyúlásai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</si>
  <si>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</si>
  <si>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</si>
  <si>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</si>
  <si>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</si>
  <si>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</si>
  <si>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</si>
  <si>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</si>
  <si>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</si>
  <si>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</si>
  <si>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</si>
  <si>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</si>
  <si>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</si>
  <si>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</si>
  <si>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</si>
  <si>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</si>
  <si>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</si>
  <si>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</si>
  <si>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</si>
  <si>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</si>
  <si>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A nyílások szabványos fúrása a pánt tálra 3 mm az éltől</t>
  </si>
  <si>
    <t>Az adott árak ÁFA nélkül vannak megadva és nem tartalmazzák a szükséges vasalatok árát!</t>
  </si>
  <si>
    <t>Półnakładany ze zintegr. Blumotionem</t>
  </si>
  <si>
    <t>Félig ráütődő integr. Blumotionnal</t>
  </si>
  <si>
    <t>Włożony ze zintegr. Blumotionem</t>
  </si>
  <si>
    <t>Közzé záródó integr. Blumotionnal</t>
  </si>
  <si>
    <t>Minimalna odległość umieszczenia zawiasu</t>
  </si>
  <si>
    <t>Minimális távolság a pántok elhelyezésére</t>
  </si>
  <si>
    <t>Nakładany ze zintegr. Blumotionem</t>
  </si>
  <si>
    <t>Ráütődő integr. Blumotionnal</t>
  </si>
  <si>
    <t>A nyílások szabványos fúrása pántok részére minden típusú Aventos HF vasaltnál 100 mm az éltől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</si>
  <si>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</si>
  <si>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</si>
  <si>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</si>
  <si>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</si>
  <si>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W wypadku, kiedy ramka była już zamocowana, nie można uwzględnić reklamacji.</t>
  </si>
  <si>
    <t>Reklamációt a keret sérülésére nem lehet érvényesíteni, ha a keret már fel volt szerelve</t>
  </si>
  <si>
    <t>A vasalat felerősítésére az ALU keretre csak az erre a célra megadott csavarokat lehet használni (péld. kód 13681).</t>
  </si>
  <si>
    <t>Prosimy korzystać zawsze z aktualnej wersji formularza umieszczonego na naszych stronach web.</t>
  </si>
  <si>
    <t>Mindig használja a legfrissebb megrendelő lapot, amelyet megtalál a web oldalunkon.</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</si>
  <si>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</si>
  <si>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</si>
  <si>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</si>
  <si>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</si>
  <si>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</si>
  <si>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</si>
  <si>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</si>
  <si>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</si>
  <si>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</si>
  <si>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</si>
  <si>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</si>
  <si>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</si>
  <si>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</si>
  <si>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</si>
  <si>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</si>
  <si>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</si>
  <si>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Nákresy profilov a spoj. Kovania</t>
  </si>
  <si>
    <t>Rysunki profili i okuć łączących</t>
  </si>
  <si>
    <t>A profilok és összek.vasalat rajza</t>
  </si>
  <si>
    <t>Maximálny doporučený rozmer rámčeka je 2000 x 600 mm (v prípade rámčekov s nalepeným sklom 1800 x 600 mm)</t>
  </si>
  <si>
    <t>A keretek maximális ajánlott mérete 2000 x 600 mm ( kereteknél ragasztott üveggel 1800 x 600 mm)</t>
  </si>
  <si>
    <t xml:space="preserve">Na požiadavku zákazníka, je možné dodať rámčeky s maximálnou dĺžkou profilu 3m. Maximálny rozmer skla je v tomto prípade 2500 x 1300 mm. </t>
  </si>
  <si>
    <t>Na prośbę klienta można dostarczyć ramki w maksymalnej długości 3m. Rozmiar maksymalny szkła wynosi wtedy 2500 x 1300 mm.</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</si>
  <si>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</si>
  <si>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</si>
  <si>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Az összes Lacobal és Matelac üveget biztonsági fóliával lehet ellátni (szükség esetében, kérjük beadni a megjegyzésbe)</t>
  </si>
  <si>
    <t xml:space="preserve">Vyplnenú objednávku zašlite na adresu </t>
  </si>
  <si>
    <t>Zapisane zamówienie wyślij pod adres</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</si>
  <si>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</si>
  <si>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</si>
  <si>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</si>
  <si>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</si>
  <si>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</si>
  <si>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</si>
  <si>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</si>
  <si>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</si>
  <si>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</si>
  <si>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</si>
  <si>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Výška rámčeku je štandardne o 6 mm menší, než uvedená vnútorná výška skrinky.</t>
  </si>
  <si>
    <t>A keret magassága standard 6 mm kisebb, mint a szekrény beadott magassága.</t>
  </si>
  <si>
    <t>Štandardne sú rámčeky pripravené pre posuvné kovanie H27AL (nosnosť 25 kg na rámček) a H37AL (nosnosť 35 kg na rámček)</t>
  </si>
  <si>
    <t>A keretek standard elő vannak készítve H27AL tolóajtó vasalatra (teherbírás 25 kg keretenként) és H37AL (teherbírás 35 kg keretenként)</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</si>
  <si>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</si>
  <si>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</si>
  <si>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</si>
  <si>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</si>
  <si>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</si>
  <si>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</si>
  <si>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</si>
  <si>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</si>
  <si>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</si>
  <si>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</si>
  <si>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</si>
  <si>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</si>
  <si>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</si>
  <si>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</si>
  <si>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</si>
  <si>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</si>
  <si>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</si>
  <si>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</si>
  <si>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</si>
  <si>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Do ramek ponadgabarytowych (ponad rozmiar 1200 x 800 mm) może być doliczana opłata za specjalne zapakowanie i transport (kolejne informacje w centrum obsługi klienta)</t>
  </si>
  <si>
    <t>A nagy méretű keretekhez ( nagy méret 1200 x 800 mm felett), felárat számíthatunk fel a speciális csomagolásért és szállításért (részletesebb információ a Kliens centrumba).</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</si>
  <si>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</si>
  <si>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</si>
  <si>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</si>
  <si>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</si>
  <si>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Az üveg minták megrendelhetőek: Lakobel kód VZK003P és Matelac kód VZK004P.</t>
  </si>
  <si>
    <t>Satinato kalené (dodání 3 týdny)</t>
  </si>
  <si>
    <t>Čiré kalené (dodání 3 týdny)</t>
  </si>
  <si>
    <t>Číre kalené (dodanie 3 týždne)</t>
  </si>
  <si>
    <t>Czyste hartowane (dostawa 3 tygodnie)</t>
  </si>
  <si>
    <t>Satinato hartowane (dostawa 3 tygodnie)</t>
  </si>
  <si>
    <t>Satinato kalené (dodanie 3 týždne)</t>
  </si>
  <si>
    <t>Lustro + folia bezpiecńostna</t>
  </si>
  <si>
    <t xml:space="preserve">Cena za posuvné rámečky je shodná jako cena za běžné rámečky. </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</si>
  <si>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</si>
  <si>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</si>
  <si>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K nadrozměrným rámečkům (nad rozměr 1200 x 800 mm), může být účtován příplatek za speciální balení a dopravu (více informací na zákaznickém centru).</t>
  </si>
  <si>
    <t>Cena ramek przesuwnych jest identyczna z ceną ramek zwykłych.</t>
  </si>
  <si>
    <t>Cena za posuvné rámčeky je rovnaká ako cena za bežné rámčeky.</t>
  </si>
  <si>
    <t>Edzett üveg (szállítási idő 3 hét)</t>
  </si>
  <si>
    <t>Satinato edzett (szállítási idő 3 hét)</t>
  </si>
  <si>
    <t>Tükör + biztonsági fólia</t>
  </si>
  <si>
    <t>A tolóajtós alukeretek ára megegyezik a szokásos alukeret árakkal.</t>
  </si>
  <si>
    <t>(135006+15595-9 +15598)</t>
  </si>
  <si>
    <t>(135007+15595-9 +15598)</t>
  </si>
  <si>
    <t>(15590+15595-9 +15598)</t>
  </si>
  <si>
    <t>(15591+15595-9 +15598)</t>
  </si>
  <si>
    <t>(15592+15595-9 +15598)</t>
  </si>
  <si>
    <t>(15593+15595-9 +15598)</t>
  </si>
  <si>
    <t>(135008+15595-9 +15598)</t>
  </si>
  <si>
    <t>(135009+15595-9 +15598)</t>
  </si>
  <si>
    <t>(135010+15595-9 +15598)</t>
  </si>
  <si>
    <t>(135011+15595-9 +15598)</t>
  </si>
  <si>
    <t>(15588+15595-9 +15598)</t>
  </si>
  <si>
    <t>(15594+15595-9 +15598)</t>
  </si>
  <si>
    <t>(15589+15595-9 +15598)</t>
  </si>
  <si>
    <t>BRW (elox.)</t>
  </si>
  <si>
    <t>BRW broušené</t>
  </si>
  <si>
    <t>BRW brúsené</t>
  </si>
  <si>
    <t>BRW szczotkowane</t>
  </si>
  <si>
    <t>BRW csiszolt</t>
  </si>
  <si>
    <t>BRW černá broušená</t>
  </si>
  <si>
    <t>BRW čierna brúsená</t>
  </si>
  <si>
    <t>BRW czarna szczotka</t>
  </si>
  <si>
    <t>BRW fekete csiszolt</t>
  </si>
  <si>
    <t>Corleone (elox.)</t>
  </si>
  <si>
    <t>Corleone champagne</t>
  </si>
  <si>
    <t>Corleone szampańskie</t>
  </si>
  <si>
    <t>Corleone pezsgő</t>
  </si>
  <si>
    <t>Imola (elox.)</t>
  </si>
  <si>
    <t>Modena (elox.)</t>
  </si>
  <si>
    <t>Palio (elox.)</t>
  </si>
  <si>
    <t>Pisa (elox.)</t>
  </si>
  <si>
    <t>Ravena</t>
  </si>
  <si>
    <t>Siena (elox.)</t>
  </si>
  <si>
    <t>Verona (elox.)</t>
  </si>
  <si>
    <t>Vivaro (elox.)</t>
  </si>
  <si>
    <t>Vivaro czarne</t>
  </si>
  <si>
    <t>Lacobel RAL 9007</t>
  </si>
  <si>
    <t>Zrkadlo + bezpečnostná fólie</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</si>
  <si>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</si>
  <si>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</si>
  <si>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</si>
  <si>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</si>
  <si>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</si>
  <si>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</si>
  <si>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Strong</t>
  </si>
  <si>
    <t>Clip na vrut (12306)</t>
  </si>
  <si>
    <t>Clip na eurošroub (12318)</t>
  </si>
  <si>
    <t>Clip na vrut H0 (92596)</t>
  </si>
  <si>
    <t>Clip na eurošroub H0  (92597)</t>
  </si>
  <si>
    <t>Clip na vrut H2 (92598)</t>
  </si>
  <si>
    <t>Clip na eurošroub H2 (92599)</t>
  </si>
  <si>
    <t>Clip na vrut H0 (92590T)</t>
  </si>
  <si>
    <t>Clip na eurošroub H0  (92591T)</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</si>
  <si>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</si>
  <si>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</si>
  <si>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</si>
  <si>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</si>
  <si>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</si>
  <si>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</si>
  <si>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</si>
  <si>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</si>
  <si>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</si>
  <si>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</si>
  <si>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</si>
  <si>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</si>
  <si>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</si>
  <si>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</si>
  <si>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</si>
  <si>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</si>
  <si>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</si>
  <si>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</si>
  <si>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</si>
  <si>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</si>
  <si>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</si>
  <si>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</si>
  <si>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</si>
  <si>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</si>
  <si>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</si>
  <si>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</si>
  <si>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</si>
  <si>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</si>
  <si>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</si>
  <si>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</si>
  <si>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</si>
  <si>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</si>
  <si>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</si>
  <si>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</si>
  <si>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</si>
  <si>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</si>
  <si>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248162+276001</t>
  </si>
  <si>
    <t>STRONG 30N bílý Automatický</t>
  </si>
  <si>
    <t>248163+276001</t>
  </si>
  <si>
    <t>STRONG 60N bílý Automatický</t>
  </si>
  <si>
    <t>248164+276001</t>
  </si>
  <si>
    <t>STRONG 80N bílý Automatický</t>
  </si>
  <si>
    <t>248165+276001</t>
  </si>
  <si>
    <t>STRONG 100N bílý Automatický</t>
  </si>
  <si>
    <t>248166+276001</t>
  </si>
  <si>
    <t>STRONG 120N bílý Automatický</t>
  </si>
  <si>
    <t>284254+276001</t>
  </si>
  <si>
    <t>STRONG 60N bílý Polohovací</t>
  </si>
  <si>
    <t>284255+276001</t>
  </si>
  <si>
    <t>STRONG 80N bílý Polohovací</t>
  </si>
  <si>
    <t>284256+276001</t>
  </si>
  <si>
    <t>STRONG 100N bílý Polohovací</t>
  </si>
  <si>
    <t>284257+276001</t>
  </si>
  <si>
    <t>STRONG 120N bílý Polohovací</t>
  </si>
  <si>
    <t>275672+276001</t>
  </si>
  <si>
    <t>STRONG 30N šedý Automatický</t>
  </si>
  <si>
    <t>275673+276001</t>
  </si>
  <si>
    <t>STRONG 60N šedý Automatický</t>
  </si>
  <si>
    <t>275674+276001</t>
  </si>
  <si>
    <t>STRONG 80N šedý Automatický</t>
  </si>
  <si>
    <t>275675+276001</t>
  </si>
  <si>
    <t>STRONG 100N šedý Automatický</t>
  </si>
  <si>
    <t>275676+276001</t>
  </si>
  <si>
    <t>STRONG 120N šedý Automatický</t>
  </si>
  <si>
    <t>284250+276001</t>
  </si>
  <si>
    <t>STRONG 60N šedý Polohovací</t>
  </si>
  <si>
    <t>284251+276001</t>
  </si>
  <si>
    <t>STRONG 80N šedý Polohovací</t>
  </si>
  <si>
    <t>284252+276001</t>
  </si>
  <si>
    <t>STRONG 100N šedý Polohovací</t>
  </si>
  <si>
    <t>284253+276001</t>
  </si>
  <si>
    <t>STRONG 120N šedý Polohovací</t>
  </si>
  <si>
    <t>135017+135019+135024</t>
  </si>
  <si>
    <t>HUWIL DUO</t>
  </si>
  <si>
    <t>135018+135019+135024</t>
  </si>
  <si>
    <t>HUWIL DUO FORTE</t>
  </si>
  <si>
    <t>135044+135045+135047</t>
  </si>
  <si>
    <t>HUWILIFT MAXI</t>
  </si>
  <si>
    <t>135006+15597+2x15598+15599</t>
  </si>
  <si>
    <t>135007+15597+2x15598+15600</t>
  </si>
  <si>
    <t>15590+15597+2x15598+15601</t>
  </si>
  <si>
    <t>15591+15597+2x15598+15602</t>
  </si>
  <si>
    <t>15592+15597+2x15598+15603</t>
  </si>
  <si>
    <t>15593+15597+2x15598+15604</t>
  </si>
  <si>
    <t>135008+15597+2x15598+15605</t>
  </si>
  <si>
    <t>135009+15597+2x15598+15606</t>
  </si>
  <si>
    <t>135010+15597+2x15598+15607</t>
  </si>
  <si>
    <t>135011+15597+2x15598+15608</t>
  </si>
  <si>
    <t>282471+282479</t>
  </si>
  <si>
    <t>K12 244 50N</t>
  </si>
  <si>
    <t>282472+282479</t>
  </si>
  <si>
    <t>K12 244 80N</t>
  </si>
  <si>
    <t>282473+282479</t>
  </si>
  <si>
    <t>K12 244 100N</t>
  </si>
  <si>
    <t>282474+282479</t>
  </si>
  <si>
    <t>K12 244 120N</t>
  </si>
  <si>
    <t>282475+282479</t>
  </si>
  <si>
    <t>K12 355 60N</t>
  </si>
  <si>
    <t>282476+282479</t>
  </si>
  <si>
    <t>K12 355 90N</t>
  </si>
  <si>
    <t>282477+282479</t>
  </si>
  <si>
    <t>K12 355 110N</t>
  </si>
  <si>
    <t>282478+282479</t>
  </si>
  <si>
    <t>K12 355 130N</t>
  </si>
  <si>
    <t>275689+276001</t>
  </si>
  <si>
    <t>STRONG spodní bílý</t>
  </si>
  <si>
    <t>248167+276001</t>
  </si>
  <si>
    <t>STRONG spodní šedý</t>
  </si>
  <si>
    <t>135017+135019+135021</t>
  </si>
  <si>
    <t xml:space="preserve">HUWIL DUO (90°) </t>
  </si>
  <si>
    <t>135018+135019+135045</t>
  </si>
  <si>
    <t>15588+15597+2x15598+15599</t>
  </si>
  <si>
    <t>KRABY 164 spodní</t>
  </si>
  <si>
    <t>15594+15597+2x15598+15599</t>
  </si>
  <si>
    <t>KRABY 244 spodní</t>
  </si>
  <si>
    <t>15589+15597+2x15598+15599</t>
  </si>
  <si>
    <t>KRABY 355 spodní</t>
  </si>
  <si>
    <t>135017+135019+135045</t>
  </si>
  <si>
    <t>135044+135045</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</si>
  <si>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</si>
  <si>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</si>
  <si>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</si>
  <si>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</si>
  <si>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</si>
  <si>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</si>
  <si>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</si>
  <si>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</si>
  <si>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</si>
  <si>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92890T</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</si>
  <si>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</si>
  <si>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</si>
  <si>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</si>
  <si>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</si>
  <si>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</si>
  <si>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</si>
  <si>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</si>
  <si>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</si>
  <si>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P</t>
  </si>
  <si>
    <t>V</t>
  </si>
  <si>
    <t>U</t>
  </si>
  <si>
    <t>R</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</si>
  <si>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</si>
  <si>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</si>
  <si>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</si>
  <si>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</si>
  <si>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</si>
  <si>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</si>
  <si>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</si>
  <si>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</si>
  <si>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</si>
  <si>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</si>
  <si>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</si>
  <si>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</si>
  <si>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</si>
  <si>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</si>
  <si>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féligráütődő csillapítós</t>
  </si>
  <si>
    <t>Sensys vložený tlmený</t>
  </si>
  <si>
    <t>Sensys wpuszczany z tłumieniem</t>
  </si>
  <si>
    <t>Sensys közzézáródó csillapítós</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</si>
  <si>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</si>
  <si>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</si>
  <si>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</si>
  <si>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</si>
  <si>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</si>
  <si>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</si>
  <si>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</si>
  <si>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</si>
  <si>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</si>
  <si>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</si>
  <si>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</si>
  <si>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féligráütődő</t>
  </si>
  <si>
    <t>Intermat wpuszczany</t>
  </si>
  <si>
    <t>Intermat közzézáródó</t>
  </si>
  <si>
    <t>Intermat príložný</t>
  </si>
  <si>
    <t>Intermat równoległy</t>
  </si>
  <si>
    <t>Intermat hozzáilleszthető</t>
  </si>
  <si>
    <t>Sensys naložený bez tlmenia</t>
  </si>
  <si>
    <t>Sensys vložený bez tlmenia</t>
  </si>
  <si>
    <t>Sensys wpuszczany bez tłumienia</t>
  </si>
  <si>
    <t>Sensys közzézáródó csillapító nélkül</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</si>
  <si>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</si>
  <si>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</si>
  <si>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</si>
  <si>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</si>
  <si>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</si>
  <si>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</si>
  <si>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</si>
  <si>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</si>
  <si>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</si>
  <si>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</si>
  <si>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</si>
  <si>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</si>
  <si>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</si>
  <si>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</si>
  <si>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</si>
  <si>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</si>
  <si>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</si>
  <si>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</si>
  <si>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</si>
  <si>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</si>
  <si>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</si>
  <si>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</si>
  <si>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</si>
  <si>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</si>
  <si>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</si>
  <si>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</si>
  <si>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</si>
  <si>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</si>
  <si>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</si>
  <si>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</si>
  <si>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</si>
  <si>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</si>
  <si>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ráütődő rátolható</t>
  </si>
  <si>
    <t>polonaložený k nasunutiu</t>
  </si>
  <si>
    <t>półnakładany nasuwany</t>
  </si>
  <si>
    <t>féligráütődő rátolható</t>
  </si>
  <si>
    <t>vložený k nasunutiu</t>
  </si>
  <si>
    <t>wpuszczany nasuwany</t>
  </si>
  <si>
    <t>közzézáródó rátolható</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</si>
  <si>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</si>
  <si>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</si>
  <si>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</si>
  <si>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</si>
  <si>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</si>
  <si>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</si>
  <si>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</si>
  <si>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</si>
  <si>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</si>
  <si>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</si>
  <si>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</si>
  <si>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</si>
  <si>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</si>
  <si>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</si>
  <si>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</si>
  <si>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</si>
  <si>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</si>
  <si>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</si>
  <si>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</si>
  <si>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</si>
  <si>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</si>
  <si>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</si>
  <si>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</si>
  <si>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</si>
  <si>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</si>
  <si>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</si>
  <si>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</si>
  <si>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</si>
  <si>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</si>
  <si>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</si>
  <si>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</si>
  <si>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</si>
  <si>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</si>
  <si>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</si>
  <si>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</si>
  <si>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</si>
  <si>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</si>
  <si>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</si>
  <si>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</si>
  <si>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</si>
  <si>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</si>
  <si>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</si>
  <si>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</si>
  <si>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</si>
  <si>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</si>
  <si>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</si>
  <si>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</si>
  <si>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</si>
  <si>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</si>
  <si>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</si>
  <si>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</si>
  <si>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</si>
  <si>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</si>
  <si>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</si>
  <si>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</si>
  <si>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</si>
  <si>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</si>
  <si>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</si>
  <si>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</si>
  <si>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</si>
  <si>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</si>
  <si>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</si>
  <si>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H0 csavar rátolhatós</t>
  </si>
  <si>
    <t>k nasunutiu EURO skrutka H0</t>
  </si>
  <si>
    <t>nasuwany EURO wkręt H0</t>
  </si>
  <si>
    <t>Euro csavar  H0 rátolhatós</t>
  </si>
  <si>
    <t>k nasunutiu na vrut H2</t>
  </si>
  <si>
    <t>nasuwany na wkręt H2</t>
  </si>
  <si>
    <t>Rátolhatós  csavar H2</t>
  </si>
  <si>
    <t>k nasunutiu EURO skrutka H2</t>
  </si>
  <si>
    <t>nasuwany EURO wkręt H2</t>
  </si>
  <si>
    <t xml:space="preserve">Euro csavar  H2 rátolhatós </t>
  </si>
  <si>
    <t>Clip vrut s excentrom H0</t>
  </si>
  <si>
    <t>Clip wkręt z mimośrodem H0</t>
  </si>
  <si>
    <t>Pozycja ramienia</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</si>
  <si>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</si>
  <si>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</si>
  <si>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</si>
  <si>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</si>
  <si>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</si>
  <si>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</si>
  <si>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</si>
  <si>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Ábrázolt  RAL és REF szinek csak tájékoztató jellegűek !!!!</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</si>
  <si>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</si>
  <si>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</si>
  <si>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</si>
  <si>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</si>
  <si>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</si>
  <si>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</si>
  <si>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</si>
  <si>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</si>
  <si>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</si>
  <si>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</si>
  <si>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</si>
  <si>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BRW antracit</t>
  </si>
  <si>
    <t>BRW brąz</t>
  </si>
  <si>
    <t>BRW acier grata = stal nierdzewna szlifowana</t>
  </si>
  <si>
    <t>BRW INOX LIJA</t>
  </si>
  <si>
    <t>MODENA INOX LIJA</t>
  </si>
  <si>
    <t>Verona czarna</t>
  </si>
  <si>
    <t>VERONA brąz</t>
  </si>
  <si>
    <t xml:space="preserve">VERONA szczotkowane Acier </t>
  </si>
  <si>
    <t>BRW antracyt</t>
  </si>
  <si>
    <t>BRW hnědá</t>
  </si>
  <si>
    <t>BRW barna</t>
  </si>
  <si>
    <t>BRW světlá nerez (ACIER GRATA)</t>
  </si>
  <si>
    <t>BRW nerez ACIER GRATA</t>
  </si>
  <si>
    <t>BRW acier grata</t>
  </si>
  <si>
    <t>BRW nemesacél ACIER GRATA</t>
  </si>
  <si>
    <t>BRW tmavá nerez br. (Inox lija)</t>
  </si>
  <si>
    <t>BRW tmavá nerez brúsená LIJA</t>
  </si>
  <si>
    <t>Modena tmavá nerez br. (inox lija)</t>
  </si>
  <si>
    <t>Modena tmavá nerez brúsená LIJA</t>
  </si>
  <si>
    <t>Ravena (elox.)</t>
  </si>
  <si>
    <t>Verona broušený hliník</t>
  </si>
  <si>
    <t>Verona hnědá</t>
  </si>
  <si>
    <t>Verona braz</t>
  </si>
  <si>
    <t>Verona barna</t>
  </si>
  <si>
    <t>Verona tmavá nerez broušená</t>
  </si>
  <si>
    <t>Verona světlá nerez (Acier grata)</t>
  </si>
  <si>
    <t>Verona svetlá nerez brúsená Acier</t>
  </si>
  <si>
    <t>Verona szczotkowane Inox Acier</t>
  </si>
  <si>
    <t>Verona nemesacél csiszolt Acier</t>
  </si>
  <si>
    <t>Vivaro tmavá nerez br. (inox lija)</t>
  </si>
  <si>
    <t>Satinato hnědé</t>
  </si>
  <si>
    <t>Satinato grafit</t>
  </si>
  <si>
    <t>Screen</t>
  </si>
  <si>
    <t>Venus VG10</t>
  </si>
  <si>
    <t>Stopsol bronz</t>
  </si>
  <si>
    <t>D</t>
  </si>
  <si>
    <t>S*</t>
  </si>
  <si>
    <t>S</t>
  </si>
  <si>
    <t>J</t>
  </si>
  <si>
    <t>Skupina</t>
  </si>
  <si>
    <t>Značka</t>
  </si>
  <si>
    <t>Skladovost</t>
  </si>
  <si>
    <t>uzky</t>
  </si>
  <si>
    <t>tlumení</t>
  </si>
  <si>
    <t>N/P/V/U</t>
  </si>
  <si>
    <t>TIP ON / P2O</t>
  </si>
  <si>
    <t>Podložka 1</t>
  </si>
  <si>
    <t xml:space="preserve">Popis </t>
  </si>
  <si>
    <t>Sklad</t>
  </si>
  <si>
    <t>STRONG závěs naložený 110° klipový</t>
  </si>
  <si>
    <t>STRONG závěs polonaložený 110° klipový</t>
  </si>
  <si>
    <t>STRONG závěs vložený 110° klipový</t>
  </si>
  <si>
    <t>STRONG závěs 45° klipový</t>
  </si>
  <si>
    <t>STRONG závěs naložený 110° slide on</t>
  </si>
  <si>
    <t>k nasunutí na vrut H0 (92613)</t>
  </si>
  <si>
    <t>k nasunutí EURO šroub H0 (92614)</t>
  </si>
  <si>
    <t>k nasunutí na vrut H2 (92592)</t>
  </si>
  <si>
    <t>k nasunutí EURO šroub H2 (92593)</t>
  </si>
  <si>
    <t>STRONG závěs polonaložený 110°</t>
  </si>
  <si>
    <t>STRONG závěs vložený 110°</t>
  </si>
  <si>
    <t>Strong s integrovaným tlumením</t>
  </si>
  <si>
    <t>STRONG závěs naložený na alu rámeček, s tlumením, klipový</t>
  </si>
  <si>
    <t>Podložka H0 klipová s excentrem, na vrut (315856)</t>
  </si>
  <si>
    <t>Podložka H2 klipová s excentrem, na vrut (350868)</t>
  </si>
  <si>
    <t>Srong bez tlumení</t>
  </si>
  <si>
    <t>STRONG závěs naložený s tlumením 110° na vrut, klipový</t>
  </si>
  <si>
    <t>Clip na vrut H2 (92592T)</t>
  </si>
  <si>
    <t>Clip vrut s excentrem H0 (92594T)</t>
  </si>
  <si>
    <t>STRONG závěs polonaložený s tlumením 110° na vrut, klipový</t>
  </si>
  <si>
    <t>STRONG závěs vložený s tlumením 110° na vrut, klipový</t>
  </si>
  <si>
    <t>STRONG závěs s tlumením 45° na vrut, klipový</t>
  </si>
  <si>
    <t>HETTICH 9094270 Sensys 8646I B12,5 TH52, naložený pro tenké dveře, SiSy</t>
  </si>
  <si>
    <t>podložka na vrut (106403)</t>
  </si>
  <si>
    <t>podložka na Eurovrut (119240)</t>
  </si>
  <si>
    <t>podložka na rozpěrnou hmoždinku (136276)</t>
  </si>
  <si>
    <t>HETTICH 9094280 Sensys 8646i B3, TH52, polonaložený pro tenké dveře, SiSy</t>
  </si>
  <si>
    <t>HETTICH 9094290 Sensys 8646i B-4, TH52, vložený pro tenké dveře, SiSy</t>
  </si>
  <si>
    <t>HETTICH 9094450 Sensys 8676 B12,5 TH52, naložený pro tenké dveře, SiSy</t>
  </si>
  <si>
    <t>HETTICH 9094460 Sensys 8676 B12,5 TH52, polonaložený pro tenké dveře, SiSy</t>
  </si>
  <si>
    <t>HETTICH 9094470 Sensys 8676 B-4 TH52, vložený, P2O</t>
  </si>
  <si>
    <t>HETTICH 9072524 Sensys 8638i hliník naložený T3 SiSy</t>
  </si>
  <si>
    <t>HETTICH 9072530 Sensys 8668 alu B12,5/TA32, P2O</t>
  </si>
  <si>
    <t>BLUM 71M2550 naložený vrut 100°</t>
  </si>
  <si>
    <t>BLUM 71M2650 polonaložený vrut 100°</t>
  </si>
  <si>
    <t>BLUM 71M2750 vložený vrut 100°</t>
  </si>
  <si>
    <t>BLUM 71B3550 naložený s tlumením vrut 110°</t>
  </si>
  <si>
    <t>BLUM 71B3650 polonaložený s tlumením vrut 110°</t>
  </si>
  <si>
    <t>BLUM 71B3750 vložený s tlumením vrut 110°</t>
  </si>
  <si>
    <t>BLUM 71T3550 naložený vrut 110° bez tlum</t>
  </si>
  <si>
    <t>BLUM 71T3650 polonaložený 110° bez tlum</t>
  </si>
  <si>
    <t>BLUM 71T3750 vložený vrut 110° bez tlum</t>
  </si>
  <si>
    <t>BLUM 70T3550.TL naložený Tip-on vrut 110°</t>
  </si>
  <si>
    <t>BLUM 70T3650.TL polonaložený Tip-on vrut 110°</t>
  </si>
  <si>
    <t>BLUM 70T3750.TL vložený Tip-on vrut 110°</t>
  </si>
  <si>
    <t>BLUM 71B3550 naložený, tlumený vrut 110° Onyx</t>
  </si>
  <si>
    <t>BLUM 71B3650 polonaložený, tlumený vrut 110° Onyx</t>
  </si>
  <si>
    <t>BLUM 71B3750 vložený, tlumený vrut 110° Onyx</t>
  </si>
  <si>
    <t>BLUM 71T950A alu naložený 95°</t>
  </si>
  <si>
    <t>BLUM 71T960A alu polonaložený 95°</t>
  </si>
  <si>
    <t>BLUM 71T970A alu vložený 95°</t>
  </si>
  <si>
    <t>BLUM 71B950A alu naložený s tlumením 95°</t>
  </si>
  <si>
    <t>BLUM 71B960A alu polonaložený s tlumením 95°</t>
  </si>
  <si>
    <t>BLUM 71B970A alu vložený s tlumením 95°</t>
  </si>
  <si>
    <t>BLUM 70T950A.TL alu naložený pro Tip-on</t>
  </si>
  <si>
    <t>BLUM 72T550A.TL alu naložený Tip-on 120°</t>
  </si>
  <si>
    <t>BLUM 71T950A naložený, 95°, alu, vrut Onyx</t>
  </si>
  <si>
    <t>Strong bez tlumení</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</si>
  <si>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</si>
  <si>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</si>
  <si>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</si>
  <si>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</si>
  <si>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</si>
  <si>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</si>
  <si>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</si>
  <si>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</si>
  <si>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</si>
  <si>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SiSy féligráütődő</t>
  </si>
  <si>
    <t>Sensys P2o półnakładany</t>
  </si>
  <si>
    <t>Sensys P2o féligráütődő</t>
  </si>
  <si>
    <t>naložený clip 95° Onyx</t>
  </si>
  <si>
    <t>nakładany clip 95° Onyx</t>
  </si>
  <si>
    <t>ráütődő klip csillapítós 110°</t>
  </si>
  <si>
    <t>féligráütődő klip csillapítós 110°</t>
  </si>
  <si>
    <t>ráütődő klip csillapító nélkül 110°</t>
  </si>
  <si>
    <t>féligráütődő klip csillapító nélkül 110°</t>
  </si>
  <si>
    <t>ráütődő TIP-ON klip 110°</t>
  </si>
  <si>
    <t>féligráütődő TIP-ON klip 110°</t>
  </si>
  <si>
    <t xml:space="preserve">ráütődő csillapítós klip 95° </t>
  </si>
  <si>
    <t>féligráütődő csillapítós klip 95°</t>
  </si>
  <si>
    <t>ráütődő TIP-ON klip 95°</t>
  </si>
  <si>
    <t>ráütődő TIP-ON klip 120°</t>
  </si>
  <si>
    <t>ráütődő csillapítós klip 110° ONYX</t>
  </si>
  <si>
    <t>féligráütődő csillapítós klip 110° ONYX</t>
  </si>
  <si>
    <t>ráütődő klip 95° Onyx</t>
  </si>
  <si>
    <t xml:space="preserve">Sensys SiSy Vložený </t>
  </si>
  <si>
    <t xml:space="preserve">Sensys SiSy wpuszczany </t>
  </si>
  <si>
    <t>Sensys SiSy közzézáródó</t>
  </si>
  <si>
    <t xml:space="preserve">Sensys P2o Vložený </t>
  </si>
  <si>
    <t xml:space="preserve">Sensys P2o wpuszczany </t>
  </si>
  <si>
    <t>Sensys P2o közzézáródó</t>
  </si>
  <si>
    <t>vložený s tlmením clip 110° Onyx</t>
  </si>
  <si>
    <t>wpuszczany z tłumieniem clip 110° Onyx</t>
  </si>
  <si>
    <t>közzézáródó csillapítós klip 110° Onyx</t>
  </si>
  <si>
    <t>közzézáródó klip csillapítós 110°</t>
  </si>
  <si>
    <t>közézáródó klip csillapító nélkül 110°</t>
  </si>
  <si>
    <t>közzézáródó TIP-ON klip 110°</t>
  </si>
  <si>
    <t>közzézáródó csillapítós klip 95°</t>
  </si>
  <si>
    <t>Excentes klipes csavar H0</t>
  </si>
  <si>
    <t>Úvod</t>
  </si>
  <si>
    <t>Wprowadzenie</t>
  </si>
  <si>
    <t>Előszó</t>
  </si>
  <si>
    <t>STRONG s tlmením</t>
  </si>
  <si>
    <t>STRONG z tłumieniem</t>
  </si>
  <si>
    <t>STRONG csillapítós</t>
  </si>
  <si>
    <t>STRONG bez tlmení</t>
  </si>
  <si>
    <t>STRONG  bez tłumienia</t>
  </si>
  <si>
    <t>STRONG csillapító nélkül</t>
  </si>
  <si>
    <t>Verona černá mat</t>
  </si>
  <si>
    <t>Verona čierna mat</t>
  </si>
  <si>
    <t>Verona czarna matowa</t>
  </si>
  <si>
    <t>Verona fekete matt</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</si>
  <si>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</si>
  <si>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</si>
  <si>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</si>
  <si>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</si>
  <si>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</si>
  <si>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Vivaro čierne mat</t>
  </si>
  <si>
    <t>Vivaro czarne matowa</t>
  </si>
  <si>
    <t>Vivaro fekete matt</t>
  </si>
  <si>
    <t>Imola černá mat</t>
  </si>
  <si>
    <t>Imola čierna mat</t>
  </si>
  <si>
    <t>Imola Czarna matowa</t>
  </si>
  <si>
    <t>Imola fekete matt</t>
  </si>
  <si>
    <t>Pisa černá mat</t>
  </si>
  <si>
    <t>Pisa čierna matt</t>
  </si>
  <si>
    <t>Pisa Czerna matowa</t>
  </si>
  <si>
    <t>Pisa fekete matt</t>
  </si>
  <si>
    <t>Pisa černá lesk</t>
  </si>
  <si>
    <t>Pisa čierna lesk</t>
  </si>
  <si>
    <t>Pisa czarny połysk</t>
  </si>
  <si>
    <t>Pisa fekete fényes</t>
  </si>
  <si>
    <t>Modena černá mat</t>
  </si>
  <si>
    <t>Modena čierna matt</t>
  </si>
  <si>
    <t>Modena Czerna matowa</t>
  </si>
  <si>
    <t>Modena fekete matt</t>
  </si>
  <si>
    <t>Modena černá lesk</t>
  </si>
  <si>
    <t>Modena čierna lesk</t>
  </si>
  <si>
    <t>Modena czarny połysk</t>
  </si>
  <si>
    <t>Modena fekete fényes</t>
  </si>
  <si>
    <t>BRW černá mat</t>
  </si>
  <si>
    <t>BRW čierna matt</t>
  </si>
  <si>
    <t>BRW Czerna matowa</t>
  </si>
  <si>
    <t>BRW fekete matt</t>
  </si>
  <si>
    <t>BRW černá lesk</t>
  </si>
  <si>
    <t>BRW čierna lesk</t>
  </si>
  <si>
    <t>BRW czarny połysk</t>
  </si>
  <si>
    <t>BRW fekete fényes</t>
  </si>
  <si>
    <t>BRW bílá mat</t>
  </si>
  <si>
    <t>BRW biela matt</t>
  </si>
  <si>
    <t>BRW biale matowa</t>
  </si>
  <si>
    <t>BRW fehér matt</t>
  </si>
  <si>
    <t>BRW bílá lesk</t>
  </si>
  <si>
    <t>BRW biela lesk</t>
  </si>
  <si>
    <t>BRW biale polysk</t>
  </si>
  <si>
    <t>BRW fehér fényes</t>
  </si>
  <si>
    <t>Vivaro bílá mat</t>
  </si>
  <si>
    <t>Vivaro biela matt</t>
  </si>
  <si>
    <t>Vivaro biale matowa</t>
  </si>
  <si>
    <t>Vivaro fehér matt</t>
  </si>
  <si>
    <t>Vivaro bílá lesk</t>
  </si>
  <si>
    <t>Vivaro biela lesk</t>
  </si>
  <si>
    <t>Vivaro biale polysk</t>
  </si>
  <si>
    <t>Vivaro fehér fényes</t>
  </si>
  <si>
    <t>Modena czarna matowa</t>
  </si>
  <si>
    <t>Modena czarna polysk</t>
  </si>
  <si>
    <t>BRW czarne matowa</t>
  </si>
  <si>
    <t>BRW czarne polysk</t>
  </si>
  <si>
    <t>Pisa Czerna polysk</t>
  </si>
  <si>
    <t>Imola bílá mat</t>
  </si>
  <si>
    <t>Imola biela matt</t>
  </si>
  <si>
    <t>Imola biale matowa</t>
  </si>
  <si>
    <t>Imola fehér matt</t>
  </si>
  <si>
    <t>Imola Czarna polysk</t>
  </si>
  <si>
    <t>Corleone černé mat</t>
  </si>
  <si>
    <t>Corleone čierne mat</t>
  </si>
  <si>
    <t>Corleone czarne matowa</t>
  </si>
  <si>
    <t>Corleone fekete matt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</si>
  <si>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</si>
  <si>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</si>
  <si>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</si>
  <si>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</si>
  <si>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</si>
  <si>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</si>
  <si>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</si>
  <si>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</si>
  <si>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</si>
  <si>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</si>
  <si>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</si>
  <si>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</si>
  <si>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</si>
  <si>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Homokmart</t>
  </si>
  <si>
    <t>Piasek</t>
  </si>
  <si>
    <t>Piesok</t>
  </si>
  <si>
    <t>Matelac zrkadlo strieb.</t>
  </si>
  <si>
    <t>Matelac lustro srebrny</t>
  </si>
  <si>
    <t>Matelac tükör ezüst</t>
  </si>
  <si>
    <t>A beadott ajtórajzok elülnézetben vannak megjelenítve.</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</si>
  <si>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</si>
  <si>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</si>
  <si>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</si>
  <si>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</si>
  <si>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</si>
  <si>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</si>
  <si>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</si>
  <si>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Po zamontowaniu ramka nie podlega reklamacji.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</si>
  <si>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</si>
  <si>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</si>
  <si>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Maksymalny zalecany rozmiar ramki to 2000 x 600 mm (w wypadku ramek ze szkłem wklejanym 1800 x 600 mm)</t>
  </si>
  <si>
    <t>Wszystkie szkła Lacobel i Matelac można podkleić folią bezpieczną, należy dopisać taką informację w notatce (dodatkowa opłata)</t>
  </si>
  <si>
    <t>Wysokość ramki jest standardowo o 6mm mniejsza niż wysokość wewnętrzna szafki.</t>
  </si>
  <si>
    <t>W standardzie ramki są przygotowywane do okuć przesuwnych H27AL (nośność 25kg/ramkę) i H37AL (nośność 35kg/ramkę)</t>
  </si>
  <si>
    <t>Przed odesłaniem zamówienia należy sprawdzić czy nie przekroczone zostały maksymalne wymiary ramki oraz zastosowane okucia (Aventplan, katalog). Formularz nie ma ustawionych ograniczeń.</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</si>
  <si>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</si>
  <si>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</si>
  <si>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</si>
  <si>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</si>
  <si>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Podane rysunki techniczne frontów przedstawione są od przedniej strony.</t>
  </si>
  <si>
    <t>AVENTOS HK TOP</t>
  </si>
  <si>
    <t>AVENTOS HK TOP Servo Drive</t>
  </si>
  <si>
    <t>AVENTOS HK TOP TIP ON</t>
  </si>
  <si>
    <t>Ceny sú platné od 1.10.2019/Verzia 20.01</t>
  </si>
  <si>
    <t>Ceny obowiązują od 1.10.2019/Wersja 20.01</t>
  </si>
  <si>
    <t>Az árak érvényesek 2019.12.1 -től/20.01 - es változat</t>
  </si>
  <si>
    <t>Ceny jsou platné od 1.02.2020/Verze 20.01</t>
  </si>
  <si>
    <t>Anglicky</t>
  </si>
  <si>
    <t>BRW (anodized)</t>
  </si>
  <si>
    <t>BRW anthracite</t>
  </si>
  <si>
    <t>BRW white matt</t>
  </si>
  <si>
    <t>BRW white gloss</t>
  </si>
  <si>
    <t>BRW brown</t>
  </si>
  <si>
    <t>BRW brushed</t>
  </si>
  <si>
    <t>BRW black matt</t>
  </si>
  <si>
    <t>BRW black gloss</t>
  </si>
  <si>
    <t>BRW black brushed</t>
  </si>
  <si>
    <t>BRW light stainless steel (ACIER GRATA)</t>
  </si>
  <si>
    <t>BRW dark stainless steel br. (inox lija)</t>
  </si>
  <si>
    <t>Corleone (anodized)</t>
  </si>
  <si>
    <t>Corleone black matt</t>
  </si>
  <si>
    <t>Imola (anodized)</t>
  </si>
  <si>
    <t>Imola black matt</t>
  </si>
  <si>
    <t>Imola white matt</t>
  </si>
  <si>
    <t>Modena (anodized)</t>
  </si>
  <si>
    <t>Modena black matt</t>
  </si>
  <si>
    <t>Modena black gloss</t>
  </si>
  <si>
    <t>Modena black brushed</t>
  </si>
  <si>
    <t>Modena dark stainless steel br. (inox lija)</t>
  </si>
  <si>
    <t>Palio (anodized)</t>
  </si>
  <si>
    <t>Pisa (anodized)</t>
  </si>
  <si>
    <t>Pisa black matt</t>
  </si>
  <si>
    <t>Pisa black gloss</t>
  </si>
  <si>
    <t>Ravena (anodized)</t>
  </si>
  <si>
    <t>Siena (anodized)</t>
  </si>
  <si>
    <t>Verona (anodized)</t>
  </si>
  <si>
    <t>Verona brushed aluminum</t>
  </si>
  <si>
    <t>Verona black gloss</t>
  </si>
  <si>
    <t>Verona black matt</t>
  </si>
  <si>
    <t>Verona brown</t>
  </si>
  <si>
    <t>Verona dark stainless brushed</t>
  </si>
  <si>
    <t>Verona light stainless steel (Acier grata)</t>
  </si>
  <si>
    <t>Vivaro (anodized)</t>
  </si>
  <si>
    <t>Vivaro black matt</t>
  </si>
  <si>
    <t>Vivaro dark stainless steel br. (inox lija)</t>
  </si>
  <si>
    <t>Vivaro white matt</t>
  </si>
  <si>
    <t>Vivaro white gloss</t>
  </si>
  <si>
    <t>Clear</t>
  </si>
  <si>
    <t>Clear heat-treated (delivery 3 weeks)</t>
  </si>
  <si>
    <t>Satinato heat-treated (delivery 3 weeks)</t>
  </si>
  <si>
    <t>Satinato brown</t>
  </si>
  <si>
    <t>Satinato graphite</t>
  </si>
  <si>
    <t>Stopsol bronze</t>
  </si>
  <si>
    <t>Sand</t>
  </si>
  <si>
    <t>Antisol bronze</t>
  </si>
  <si>
    <t>Antisol graphite</t>
  </si>
  <si>
    <t>Mirror</t>
  </si>
  <si>
    <t>Mirror brown</t>
  </si>
  <si>
    <t>Mirror graphite</t>
  </si>
  <si>
    <t>Mirror + security foil</t>
  </si>
  <si>
    <t>Master Lens</t>
  </si>
  <si>
    <t>Master Line</t>
  </si>
  <si>
    <t>Master Point</t>
  </si>
  <si>
    <t>Master Ray</t>
  </si>
  <si>
    <t>Master Shine</t>
  </si>
  <si>
    <t>Matelac mirror bronze</t>
  </si>
  <si>
    <t>Matelac mirror graphite</t>
  </si>
  <si>
    <t>Matelac mirror silver</t>
  </si>
  <si>
    <t>Rámeček</t>
  </si>
  <si>
    <t>Rámček</t>
  </si>
  <si>
    <t>frame</t>
  </si>
  <si>
    <t>The standard drilling hole for the hinge cup is 3 mm from the edge.</t>
  </si>
  <si>
    <t>The listed prices are without VAT and do not include the price of the required fittings!</t>
  </si>
  <si>
    <t>Profile type</t>
  </si>
  <si>
    <t>Glass type</t>
  </si>
  <si>
    <t>Quantity</t>
  </si>
  <si>
    <t>Width</t>
  </si>
  <si>
    <t>Height</t>
  </si>
  <si>
    <t>Comment</t>
  </si>
  <si>
    <t>Total price of frames</t>
  </si>
  <si>
    <t>Total fitting price</t>
  </si>
  <si>
    <t>Price for a complete order</t>
  </si>
  <si>
    <t xml:space="preserve">Hinges </t>
  </si>
  <si>
    <t>Aventos - others</t>
  </si>
  <si>
    <t>STRONG with damping</t>
  </si>
  <si>
    <t>Hinges with lifting piston</t>
  </si>
  <si>
    <t>Upper door</t>
  </si>
  <si>
    <t>Lower door</t>
  </si>
  <si>
    <t>Full-overlay clip</t>
  </si>
  <si>
    <t>Semi-overlay clip</t>
  </si>
  <si>
    <t>Inset clip</t>
  </si>
  <si>
    <t>Angle 45 °</t>
  </si>
  <si>
    <t>Full-overlay</t>
  </si>
  <si>
    <t>Semi-overlay</t>
  </si>
  <si>
    <t>Inset</t>
  </si>
  <si>
    <t>Full-overlay with opposite spring function</t>
  </si>
  <si>
    <t>Inset with opposite spring function</t>
  </si>
  <si>
    <t>Clip - screw H2</t>
  </si>
  <si>
    <t>Clip - screw H4</t>
  </si>
  <si>
    <t>Clip - euroscrew H2</t>
  </si>
  <si>
    <t>Clip - euroscrew H4</t>
  </si>
  <si>
    <t>Slide on - screw H2</t>
  </si>
  <si>
    <t>Slide on - screw H4</t>
  </si>
  <si>
    <t>Slide on - euroscrew H2</t>
  </si>
  <si>
    <t>Slide on - euroscrew H4</t>
  </si>
  <si>
    <t>Full-overlay for Blumotion</t>
  </si>
  <si>
    <t>Semi-overlay with integr. Blumotion</t>
  </si>
  <si>
    <t>Inset with integr. Blumotion</t>
  </si>
  <si>
    <t>45 ° clip full-overlay</t>
  </si>
  <si>
    <t>45 ° clip semi-overlay</t>
  </si>
  <si>
    <t>Full-overlay without spring</t>
  </si>
  <si>
    <t>Full-overlay without spring (TIP-ON)</t>
  </si>
  <si>
    <t>Clip - euroscrew</t>
  </si>
  <si>
    <t>Clip - screw</t>
  </si>
  <si>
    <t>Increased by 6 mm</t>
  </si>
  <si>
    <t>45 ° clip</t>
  </si>
  <si>
    <t>Clip - euroscrew H0</t>
  </si>
  <si>
    <t>Clip - screw H0</t>
  </si>
  <si>
    <t>Select the position of the frame</t>
  </si>
  <si>
    <t>Hinge supplier</t>
  </si>
  <si>
    <t>Type of hinges</t>
  </si>
  <si>
    <t>Aventos type</t>
  </si>
  <si>
    <t>Plate type</t>
  </si>
  <si>
    <t>Number of hinges per 1 frame</t>
  </si>
  <si>
    <t>Lifting pistons</t>
  </si>
  <si>
    <t>Add fittings to the order</t>
  </si>
  <si>
    <t>Location of pistons</t>
  </si>
  <si>
    <t>Right</t>
  </si>
  <si>
    <t>Left</t>
  </si>
  <si>
    <t>2 Pieces (both sides)</t>
  </si>
  <si>
    <t>Design of the second door</t>
  </si>
  <si>
    <t>Narrow ALU frame</t>
  </si>
  <si>
    <t>Wide ALU frame</t>
  </si>
  <si>
    <t>16 mm thick MDF</t>
  </si>
  <si>
    <t>18 mm thick MDF</t>
  </si>
  <si>
    <t>18 mm thick DTDL</t>
  </si>
  <si>
    <t>Location of hinges</t>
  </si>
  <si>
    <t>Up</t>
  </si>
  <si>
    <t>Down</t>
  </si>
  <si>
    <t>Select from the list</t>
  </si>
  <si>
    <t>The distance of the hinge from the edge</t>
  </si>
  <si>
    <t>Fill in only if the drilling is not symmetrical to the center</t>
  </si>
  <si>
    <t>Order form for ALU frames</t>
  </si>
  <si>
    <t>When filling out a form, always proceed from top to bottom. If you make a change back, check that the following items are correct.</t>
  </si>
  <si>
    <t>Prices are valid from 1.02.2020 / Version 20.01</t>
  </si>
  <si>
    <t>Total price</t>
  </si>
  <si>
    <t>Customer</t>
  </si>
  <si>
    <t>Contact phone</t>
  </si>
  <si>
    <t>Contact e-mail</t>
  </si>
  <si>
    <t>Address</t>
  </si>
  <si>
    <t>ID</t>
  </si>
  <si>
    <t>Discount on frames</t>
  </si>
  <si>
    <t>Discount on fittings</t>
  </si>
  <si>
    <t>Order Number</t>
  </si>
  <si>
    <t>Color previews for individual RAL and REF titles are only indicative!!!!</t>
  </si>
  <si>
    <t>Fitting type</t>
  </si>
  <si>
    <t>STRONG without damping</t>
  </si>
  <si>
    <t>Sliding frames</t>
  </si>
  <si>
    <t>As standard, the order is delivered including fittings and guide profiles</t>
  </si>
  <si>
    <t>Internal dimension of the cabinet (mm)</t>
  </si>
  <si>
    <t>Number of doors</t>
  </si>
  <si>
    <t>Here are the standard door overlaps</t>
  </si>
  <si>
    <t>Color</t>
  </si>
  <si>
    <t>ALU order</t>
  </si>
  <si>
    <t>LACOBEL and MATELAC colors</t>
  </si>
  <si>
    <t>Arm type</t>
  </si>
  <si>
    <t>Handle weight (g)</t>
  </si>
  <si>
    <t>Types of profiles</t>
  </si>
  <si>
    <t>Bottom</t>
  </si>
  <si>
    <t>Minimum distance for hinges</t>
  </si>
  <si>
    <t>Full-overlay with integr. Blumotion</t>
  </si>
  <si>
    <t>The standard drilling of hinge holes for all types of Aventos HF fittings is 100 mm from the edge.</t>
  </si>
  <si>
    <t>The standard diameter of the holes for the handles is 7 mm in the glass and 5 mm in the frame (distance pads are included in the package).</t>
  </si>
  <si>
    <t>If your requirement is different than those mentioned above, please indicate it in the comments.</t>
  </si>
  <si>
    <t>For certain types of handles, the threads of the screws are recessed and suitable distance pads must be used.</t>
  </si>
  <si>
    <t>Complaint for damage cannot be made if the frame has already been installed.</t>
  </si>
  <si>
    <t>To attach the fittings to the ALU frame, it is necessary to use screws designed for it (eg code 13681).</t>
  </si>
  <si>
    <t>Always use the current version of the form, which is available on our website.</t>
  </si>
  <si>
    <t>An order can contain several types (dimensions) of frames at once, and such an order is considered valid. Therefore, we recommend to check the form to see if it contains only the frames you want before submitting.</t>
  </si>
  <si>
    <t>The form contains several sheets, which can be switched between at the bottom.</t>
  </si>
  <si>
    <t>Please fill in your contact details and then click on the required cell below.</t>
  </si>
  <si>
    <t>Ordinary frames</t>
  </si>
  <si>
    <t>Profile drawings and connect. fittings</t>
  </si>
  <si>
    <t>The maximum recommended frame size is 2000 x 600 mm (in the case of frames with glued glass 1800 x 600 mm)</t>
  </si>
  <si>
    <t>At the customer's request, it is possible to supply frames with a maximum profile length of 3 m. The maximum dimension of the glass in this case is 2500 x 1300 mm.</t>
  </si>
  <si>
    <t>All Lacobel and Matelac glasses can be covered with security foil (if necessary, state in the comments)</t>
  </si>
  <si>
    <t>Send the complet order to</t>
  </si>
  <si>
    <t>export@demos-trade.com</t>
  </si>
  <si>
    <t>Profile drawings</t>
  </si>
  <si>
    <t>Narrow frame fitting set H27AL (88630)</t>
  </si>
  <si>
    <t>Wide frame fitting set H37AL (88631)</t>
  </si>
  <si>
    <t>As standard, the height of the frame is 6 mm smaller than the stated internal height of the cabinet.</t>
  </si>
  <si>
    <t>As standard, the frames are prepared for sliding fittings H27AL (load capacity 25 kg per frame) and H37AL (load capacity 35 kg per frame)</t>
  </si>
  <si>
    <t>Top guide length 2 m (87313)</t>
  </si>
  <si>
    <t>Bottom guide length 2 m (87315)</t>
  </si>
  <si>
    <t>Top guide length 3 m (87312)</t>
  </si>
  <si>
    <t>Bottom guide length 3 m (87314)</t>
  </si>
  <si>
    <t>Other request (pcs)</t>
  </si>
  <si>
    <t>Quantity (pcs)</t>
  </si>
  <si>
    <t>For oversized frames (above 1200 x 800 mm), a surcharge may be charged for special packaging and transport (more information at the customer service).</t>
  </si>
  <si>
    <t>Suitable frame dimensions for a specific type of fitting must be verified before entering the order (Aventplan, catalog,…), the form has no restrictions.</t>
  </si>
  <si>
    <t>Cordia glass sampler for ALU frames: 313913 (4 boxes - Matelac, Lacobel, Glas, Glas2)</t>
  </si>
  <si>
    <t>The price for sliding frames is the same as the price for ordinary frames.</t>
  </si>
  <si>
    <t>If the handle is straight  through the glass, it is always necessary to use a distance pad (eg 144516, 191970, C0315)</t>
  </si>
  <si>
    <t>The door drawings are shown from the front view.</t>
  </si>
  <si>
    <t>Oversized frame, higher delivery costs may be charged</t>
  </si>
  <si>
    <t>Arm location</t>
  </si>
  <si>
    <t>The maximum possible frame size is 2500x1300mm</t>
  </si>
  <si>
    <t>The minimum distance of the hinge from the edge of the frame is 70mm</t>
  </si>
  <si>
    <t>The minimum distance of the hinge from the edge of the frame is 80mm</t>
  </si>
  <si>
    <t>Sensys full-overlay with damping</t>
  </si>
  <si>
    <t>Sensys semi-overlay with damping</t>
  </si>
  <si>
    <t>Sensys inset with damping</t>
  </si>
  <si>
    <t>Sensys straight  with damping</t>
  </si>
  <si>
    <t>Sensys full-overlay without damping</t>
  </si>
  <si>
    <t>Intermat full-overlay</t>
  </si>
  <si>
    <t>Intermat full-overlay 125 °</t>
  </si>
  <si>
    <t>Intermat semi-overlay</t>
  </si>
  <si>
    <t>Intermat inset</t>
  </si>
  <si>
    <t xml:space="preserve">Intermat straight </t>
  </si>
  <si>
    <t>Sensys inset without damping</t>
  </si>
  <si>
    <t>pad  - screw</t>
  </si>
  <si>
    <t>pad  - euroscrew</t>
  </si>
  <si>
    <t>pad - expansion dowel</t>
  </si>
  <si>
    <t>Full-overlay with damping 110 ° clip</t>
  </si>
  <si>
    <t>Semi-overlay with damping 110 ° clip</t>
  </si>
  <si>
    <t>Inset  with damping 110 ° clip</t>
  </si>
  <si>
    <t>Full-overlay  without damping 110 ° clip</t>
  </si>
  <si>
    <t>Semi-overlay  without damping 110 ° clip</t>
  </si>
  <si>
    <t>Inset  without damping 110 ° clip</t>
  </si>
  <si>
    <t>Full-overlay TIP-ON 110 ° clip</t>
  </si>
  <si>
    <t>Semi-overlay TIP-ON 110 ° clip</t>
  </si>
  <si>
    <t>Inset TIP-ON 110 ° clip</t>
  </si>
  <si>
    <t>Full-overlay with damping 95 ° clip</t>
  </si>
  <si>
    <t>Semi-overlay with damping 95 ° clip</t>
  </si>
  <si>
    <t>Inset with damping 95 ° clip</t>
  </si>
  <si>
    <t>Full-overlay TIP-ON 95 ° clip</t>
  </si>
  <si>
    <t>Full-overlay TIP-ON 120 ° clip</t>
  </si>
  <si>
    <t>full-overlay for sliding</t>
  </si>
  <si>
    <t>semi-overlay for sliding</t>
  </si>
  <si>
    <t>inset for sliding</t>
  </si>
  <si>
    <t>STRONG 30N white Automatic</t>
  </si>
  <si>
    <t>STRONG 60N white Automatic</t>
  </si>
  <si>
    <t>STRONG 80N white Automatic</t>
  </si>
  <si>
    <t>STRONG 100N white Automatic</t>
  </si>
  <si>
    <t>STRONG 120N white Automatic</t>
  </si>
  <si>
    <t xml:space="preserve">STRONG 60N white Positioning </t>
  </si>
  <si>
    <t xml:space="preserve">STRONG 80N white Positioning </t>
  </si>
  <si>
    <t xml:space="preserve">STRONG 100N white Positioning </t>
  </si>
  <si>
    <t xml:space="preserve">STRONG 120N white Positioning </t>
  </si>
  <si>
    <t>STRONG 30N grey Automatic</t>
  </si>
  <si>
    <t>STRONG 60N grey Automatic</t>
  </si>
  <si>
    <t>STRONG 80N grey Automatic</t>
  </si>
  <si>
    <t>STRONG 100N grey Automatic</t>
  </si>
  <si>
    <t>STRONG 120N grey Automatic</t>
  </si>
  <si>
    <t xml:space="preserve">STRONG 60N grey Positioning </t>
  </si>
  <si>
    <t xml:space="preserve">STRONG 80N grey Positioning </t>
  </si>
  <si>
    <t xml:space="preserve">STRONG 100N grey Positioning </t>
  </si>
  <si>
    <t xml:space="preserve">STRONG 120N grey Positioning </t>
  </si>
  <si>
    <t>STRONG bottom white</t>
  </si>
  <si>
    <t>STRONG bottom grey</t>
  </si>
  <si>
    <t>HUWIL DUO (90 °)</t>
  </si>
  <si>
    <t>KRABY 164 lower</t>
  </si>
  <si>
    <t>KRABY 244 bottom</t>
  </si>
  <si>
    <t>CRAB 355 lower</t>
  </si>
  <si>
    <t>to insert - screw H0</t>
  </si>
  <si>
    <t>to insert - euroscrew H0</t>
  </si>
  <si>
    <t>to insert - screw H2</t>
  </si>
  <si>
    <t>to insert - euroscrew H2</t>
  </si>
  <si>
    <t>Clip - screw with eccentric H0</t>
  </si>
  <si>
    <t>The minimum possible frame size is 140x140mm</t>
  </si>
  <si>
    <t>Sensys SiSy full-overlay</t>
  </si>
  <si>
    <t>Sensys SiSy semi-overlay</t>
  </si>
  <si>
    <t>Sensys SiSy inset</t>
  </si>
  <si>
    <t>Sensys P2o full-overlay</t>
  </si>
  <si>
    <t>Sensys P2o semi-overlay</t>
  </si>
  <si>
    <t>Sensys P2o inset</t>
  </si>
  <si>
    <t>Sensys full-overlay P2O</t>
  </si>
  <si>
    <t>Full-overlay with damping 110 ° clip, ONYX</t>
  </si>
  <si>
    <t>Semi-overlay with damping 110 ° clip, ONYX</t>
  </si>
  <si>
    <t>Inset  with damping 110 ° clip, ONYX</t>
  </si>
  <si>
    <t>Full-overlay 95 °, Onyx</t>
  </si>
  <si>
    <t>Intro</t>
  </si>
  <si>
    <t>The maximum possible size of the Corleone frame is 1500x600mm</t>
  </si>
  <si>
    <t>Hlavní strana</t>
  </si>
  <si>
    <t>Hlavná strana</t>
  </si>
  <si>
    <t>Strona główna</t>
  </si>
  <si>
    <t>Főoldal</t>
  </si>
  <si>
    <t>Main page</t>
  </si>
  <si>
    <t>AJ</t>
  </si>
  <si>
    <t xml:space="preserve">Keret </t>
  </si>
  <si>
    <t>Frame</t>
  </si>
  <si>
    <t>Ramka</t>
  </si>
  <si>
    <t>Přejít na:</t>
  </si>
  <si>
    <t>Go to:</t>
  </si>
  <si>
    <t>Iść do:</t>
  </si>
  <si>
    <t>Menj:</t>
  </si>
  <si>
    <t>Prejsť na: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</si>
  <si>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</si>
  <si>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</si>
  <si>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</si>
  <si>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</si>
  <si>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</si>
  <si>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</si>
  <si>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</si>
  <si>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</si>
  <si>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</si>
  <si>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</si>
  <si>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</si>
  <si>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</si>
  <si>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</si>
  <si>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</si>
  <si>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</si>
  <si>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</si>
  <si>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</si>
  <si>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</si>
  <si>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</si>
  <si>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</si>
  <si>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</si>
  <si>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</si>
  <si>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</si>
  <si>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</si>
  <si>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</si>
  <si>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</si>
  <si>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</si>
  <si>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</si>
  <si>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</si>
  <si>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</si>
  <si>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</si>
  <si>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</si>
  <si>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</si>
  <si>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</si>
  <si>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</si>
  <si>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</si>
  <si>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</si>
  <si>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</si>
  <si>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</si>
  <si>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</si>
  <si>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</si>
  <si>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</si>
  <si>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</si>
  <si>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</si>
  <si>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</si>
  <si>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</si>
  <si>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</si>
  <si>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</si>
  <si>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</si>
  <si>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</si>
  <si>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</si>
  <si>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</si>
  <si>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</si>
  <si>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</si>
  <si>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</si>
  <si>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</si>
  <si>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</si>
  <si>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</si>
  <si>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</si>
  <si>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</si>
  <si>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</si>
  <si>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</si>
  <si>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</si>
  <si>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</si>
  <si>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</si>
  <si>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</si>
  <si>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</si>
  <si>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</si>
  <si>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</si>
  <si>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</si>
  <si>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</si>
  <si>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</si>
  <si>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</si>
  <si>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</si>
  <si>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</si>
  <si>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</si>
  <si>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</si>
  <si>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</si>
  <si>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</si>
  <si>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_vyklopy_strong</t>
  </si>
  <si>
    <t>_vyklopy_hettich</t>
  </si>
  <si>
    <t>_vyklopy_italiana</t>
  </si>
  <si>
    <t>_vyklopy_kesse</t>
  </si>
  <si>
    <t>_Výklopy_Blum</t>
  </si>
  <si>
    <t>_Výklopy_Strong</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</si>
  <si>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</si>
  <si>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</si>
  <si>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</si>
  <si>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</si>
  <si>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</si>
  <si>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</si>
  <si>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</si>
  <si>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</si>
  <si>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</si>
  <si>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</si>
  <si>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</si>
  <si>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</si>
  <si>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</si>
  <si>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Závěs Strong 1</t>
  </si>
  <si>
    <t>Závěs Strong 2</t>
  </si>
  <si>
    <t>Závěs Strong 3</t>
  </si>
  <si>
    <t>Závěs Strong 4</t>
  </si>
  <si>
    <t>Závěs Strong 5</t>
  </si>
  <si>
    <t>_Závěsy_Hettich</t>
  </si>
  <si>
    <t>_Závěsy_Blum</t>
  </si>
  <si>
    <t>_Závěsy_Strong</t>
  </si>
  <si>
    <t>_zavesy_hettich</t>
  </si>
  <si>
    <t>_zavesy_blum</t>
  </si>
  <si>
    <t>_zavesy_strong</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</si>
  <si>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</si>
  <si>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</si>
  <si>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</si>
  <si>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</si>
  <si>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</si>
  <si>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</si>
  <si>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</si>
  <si>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</si>
  <si>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</si>
  <si>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</si>
  <si>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</si>
  <si>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</si>
  <si>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</si>
  <si>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</si>
  <si>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</si>
  <si>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</si>
  <si>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</si>
  <si>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</si>
  <si>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</si>
  <si>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</si>
  <si>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</si>
  <si>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</si>
  <si>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</si>
  <si>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</si>
  <si>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</si>
  <si>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</si>
  <si>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</si>
  <si>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</si>
  <si>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</si>
  <si>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</si>
  <si>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</si>
  <si>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350863</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</si>
  <si>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</si>
  <si>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</si>
  <si>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</si>
  <si>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</si>
  <si>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</si>
  <si>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</si>
  <si>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</si>
  <si>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</si>
  <si>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</si>
  <si>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</si>
  <si>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</si>
  <si>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</si>
  <si>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</si>
  <si>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</si>
  <si>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</si>
  <si>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</si>
  <si>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</si>
  <si>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</si>
  <si>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</si>
  <si>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</si>
  <si>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</si>
  <si>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</si>
  <si>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</si>
  <si>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</si>
  <si>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</si>
  <si>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</si>
  <si>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</si>
  <si>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</si>
  <si>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</si>
  <si>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</si>
  <si>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</si>
  <si>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</si>
  <si>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</si>
  <si>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</si>
  <si>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</si>
  <si>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</si>
  <si>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</si>
  <si>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</si>
  <si>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</si>
  <si>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</si>
  <si>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</si>
  <si>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</si>
  <si>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</si>
  <si>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</si>
  <si>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</si>
  <si>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</si>
  <si>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</si>
  <si>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Spodní_Kraby</t>
  </si>
  <si>
    <t>Spodní_K12</t>
  </si>
  <si>
    <t>Automatická_vzpěra</t>
  </si>
  <si>
    <t>Polohovací_vzpěra</t>
  </si>
  <si>
    <t>Aventos_HF</t>
  </si>
  <si>
    <t>Aventos_HK-XS</t>
  </si>
  <si>
    <t>Duo_Forte</t>
  </si>
  <si>
    <t>Aventos_ HK TOP</t>
  </si>
  <si>
    <t>Aventos_ HK-S</t>
  </si>
  <si>
    <t>Aventos_ HK-XS</t>
  </si>
  <si>
    <t>Aventos_ HL</t>
  </si>
  <si>
    <t>Aventos_ HS</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</si>
  <si>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</si>
  <si>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</si>
  <si>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</si>
  <si>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</si>
  <si>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</si>
  <si>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</si>
  <si>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</si>
  <si>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</si>
  <si>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</si>
  <si>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</si>
  <si>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</si>
  <si>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</si>
  <si>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</si>
  <si>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</si>
  <si>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</si>
  <si>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</si>
  <si>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</si>
  <si>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</si>
  <si>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</si>
  <si>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</si>
  <si>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</si>
  <si>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</si>
  <si>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</si>
  <si>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</si>
  <si>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</si>
  <si>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</si>
  <si>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Odległość od krawędzi</t>
  </si>
  <si>
    <t>A távolsága a peremtől</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</si>
  <si>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</si>
  <si>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</si>
  <si>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</si>
  <si>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</si>
  <si>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</si>
  <si>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</si>
  <si>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</si>
  <si>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</si>
  <si>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</si>
  <si>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</si>
  <si>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</si>
  <si>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</si>
  <si>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</si>
  <si>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</si>
  <si>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</si>
  <si>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</si>
  <si>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</si>
  <si>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</si>
  <si>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</si>
  <si>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</si>
  <si>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</si>
  <si>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</si>
  <si>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</si>
  <si>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</si>
  <si>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</si>
  <si>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</si>
  <si>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</si>
  <si>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</si>
  <si>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</si>
  <si>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</si>
  <si>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</si>
  <si>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</si>
  <si>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</si>
  <si>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</si>
  <si>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</si>
  <si>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</si>
  <si>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</si>
  <si>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</si>
  <si>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</si>
  <si>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</si>
  <si>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</si>
  <si>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</si>
  <si>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</si>
  <si>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</si>
  <si>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</si>
  <si>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</si>
  <si>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</si>
  <si>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</si>
  <si>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</si>
  <si>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</si>
  <si>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</si>
  <si>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Horizontálně i Vertikálně</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</si>
  <si>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</si>
  <si>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</si>
  <si>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</si>
  <si>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</si>
  <si>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</si>
  <si>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</si>
  <si>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</si>
  <si>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</si>
  <si>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</si>
  <si>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</si>
  <si>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Varianta kov.</t>
  </si>
  <si>
    <t>Zav. K vykl.</t>
  </si>
  <si>
    <t>Umístění zav.</t>
  </si>
  <si>
    <t>Počet zav.</t>
  </si>
  <si>
    <t>Značka kov.</t>
  </si>
  <si>
    <t>Typ kov.</t>
  </si>
  <si>
    <t>Kombinace pr.</t>
  </si>
  <si>
    <t>Uprava skla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</si>
  <si>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</si>
  <si>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</si>
  <si>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</si>
  <si>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</si>
  <si>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</si>
  <si>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</si>
  <si>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</si>
  <si>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</si>
  <si>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</si>
  <si>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</si>
  <si>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</si>
  <si>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</si>
  <si>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</si>
  <si>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</si>
  <si>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</si>
  <si>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</si>
  <si>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</si>
  <si>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</si>
  <si>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</si>
  <si>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</si>
  <si>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&lt;-----</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</si>
  <si>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</si>
  <si>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</si>
  <si>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</si>
  <si>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</si>
  <si>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</si>
  <si>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</si>
  <si>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</si>
  <si>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</si>
  <si>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</si>
  <si>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</si>
  <si>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</si>
  <si>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</si>
  <si>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</si>
  <si>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</si>
  <si>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</si>
  <si>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</si>
  <si>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</si>
  <si>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</si>
  <si>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</si>
  <si>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</si>
  <si>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</si>
  <si>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</si>
  <si>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</si>
  <si>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</si>
  <si>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</si>
  <si>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</si>
  <si>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</si>
  <si>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</si>
  <si>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</si>
  <si>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</si>
  <si>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</si>
  <si>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</si>
  <si>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</si>
  <si>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</si>
  <si>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</si>
  <si>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</si>
  <si>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</si>
  <si>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</si>
  <si>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</si>
  <si>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</si>
  <si>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</si>
  <si>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</si>
  <si>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</si>
  <si>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</si>
  <si>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</si>
  <si>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</si>
  <si>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</si>
  <si>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</si>
  <si>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</si>
  <si>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</si>
  <si>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</si>
  <si>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</si>
  <si>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</si>
  <si>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</si>
  <si>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</si>
  <si>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</si>
  <si>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</si>
  <si>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</si>
  <si>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</si>
  <si>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</si>
  <si>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</si>
  <si>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</si>
  <si>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</si>
  <si>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</si>
  <si>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</si>
  <si>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</si>
  <si>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</si>
  <si>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</si>
  <si>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</si>
  <si>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</si>
  <si>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</si>
  <si>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</si>
  <si>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</si>
  <si>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</si>
  <si>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</si>
  <si>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</si>
  <si>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</si>
  <si>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</si>
  <si>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</si>
  <si>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</si>
  <si>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</si>
  <si>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</si>
  <si>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</si>
  <si>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</si>
  <si>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</si>
  <si>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</si>
  <si>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</si>
  <si>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</si>
  <si>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</si>
  <si>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</si>
  <si>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</si>
  <si>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</si>
  <si>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</si>
  <si>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</si>
  <si>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</si>
  <si>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</si>
  <si>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</si>
  <si>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</si>
  <si>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</si>
  <si>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</si>
  <si>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</si>
  <si>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</si>
  <si>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</si>
  <si>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</si>
  <si>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</si>
  <si>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</si>
  <si>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</si>
  <si>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</si>
  <si>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</si>
  <si>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</si>
  <si>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</si>
  <si>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</si>
  <si>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</si>
  <si>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</si>
  <si>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</si>
  <si>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</si>
  <si>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</si>
  <si>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</si>
  <si>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</si>
  <si>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</si>
  <si>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</si>
  <si>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</si>
  <si>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</si>
  <si>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</si>
  <si>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</si>
  <si>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</si>
  <si>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</si>
  <si>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</si>
  <si>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92584T - závěs s pružinou a tlumením stříbrná</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</si>
  <si>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</si>
  <si>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</si>
  <si>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</si>
  <si>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</si>
  <si>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</si>
  <si>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</si>
  <si>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</si>
  <si>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</si>
  <si>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</si>
  <si>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</si>
  <si>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</si>
  <si>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</si>
  <si>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</si>
  <si>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</si>
  <si>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Distance from edge</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</si>
  <si>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</si>
  <si>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</si>
  <si>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</si>
  <si>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</si>
  <si>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</si>
  <si>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</si>
  <si>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</si>
  <si>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</si>
  <si>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</si>
  <si>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</si>
  <si>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</si>
  <si>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</si>
  <si>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</si>
  <si>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</si>
  <si>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</si>
  <si>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</si>
  <si>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</si>
  <si>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</si>
  <si>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</si>
  <si>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</si>
  <si>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</si>
  <si>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</si>
  <si>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</si>
  <si>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</si>
  <si>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</si>
  <si>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</si>
  <si>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</si>
  <si>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</si>
  <si>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</si>
  <si>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</si>
  <si>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</si>
  <si>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</si>
  <si>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</si>
  <si>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</si>
  <si>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</si>
  <si>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</si>
  <si>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</si>
  <si>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</si>
  <si>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</si>
  <si>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</si>
  <si>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</si>
  <si>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</si>
  <si>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</si>
  <si>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</si>
  <si>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</si>
  <si>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</si>
  <si>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</si>
  <si>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</si>
  <si>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</si>
  <si>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</si>
  <si>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</si>
  <si>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</si>
  <si>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</si>
  <si>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</si>
  <si>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</si>
  <si>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</si>
  <si>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IMOLA</t>
  </si>
  <si>
    <t>MODENA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</si>
  <si>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</si>
  <si>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</si>
  <si>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</si>
  <si>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</si>
  <si>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</si>
  <si>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</si>
  <si>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</si>
  <si>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</si>
  <si>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</si>
  <si>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</si>
  <si>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</si>
  <si>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</si>
  <si>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</si>
  <si>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</si>
  <si>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</si>
  <si>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</si>
  <si>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</si>
  <si>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</si>
  <si>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</si>
  <si>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</si>
  <si>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</si>
  <si>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</si>
  <si>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</si>
  <si>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</si>
  <si>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</si>
  <si>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</si>
  <si>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</si>
  <si>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</si>
  <si>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</si>
  <si>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</si>
  <si>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</si>
  <si>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</si>
  <si>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</si>
  <si>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</si>
  <si>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</si>
  <si>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</si>
  <si>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</si>
  <si>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</si>
  <si>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</si>
  <si>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</si>
  <si>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</si>
  <si>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</si>
  <si>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</si>
  <si>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</si>
  <si>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</si>
  <si>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</si>
  <si>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</si>
  <si>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</si>
  <si>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</si>
  <si>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</si>
  <si>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</si>
  <si>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</si>
  <si>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</si>
  <si>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</si>
  <si>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</si>
  <si>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</si>
  <si>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</si>
  <si>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</si>
  <si>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</si>
  <si>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</si>
  <si>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</si>
  <si>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</si>
  <si>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</si>
  <si>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</si>
  <si>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</si>
  <si>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</si>
  <si>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</si>
  <si>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</si>
  <si>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</si>
  <si>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</si>
  <si>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</si>
  <si>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</si>
  <si>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</si>
  <si>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</si>
  <si>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</si>
  <si>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</si>
  <si>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</si>
  <si>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</si>
  <si>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</si>
  <si>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</si>
  <si>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</si>
  <si>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</si>
  <si>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</si>
  <si>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</si>
  <si>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</si>
  <si>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</si>
  <si>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</si>
  <si>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</si>
  <si>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</si>
  <si>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</si>
  <si>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</si>
  <si>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</si>
  <si>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</si>
  <si>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</si>
  <si>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</si>
  <si>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</si>
  <si>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</si>
  <si>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</si>
  <si>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</si>
  <si>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</si>
  <si>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</si>
  <si>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</si>
  <si>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</si>
  <si>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</si>
  <si>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</si>
  <si>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</si>
  <si>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</si>
  <si>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</si>
  <si>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</si>
  <si>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</si>
  <si>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</si>
  <si>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</si>
  <si>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</si>
  <si>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</si>
  <si>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</si>
  <si>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</si>
  <si>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</si>
  <si>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</si>
  <si>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</si>
  <si>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</si>
  <si>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</si>
  <si>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</si>
  <si>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</si>
  <si>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</si>
  <si>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</si>
  <si>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</si>
  <si>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</si>
  <si>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</si>
  <si>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</si>
  <si>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</si>
  <si>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</si>
  <si>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</si>
  <si>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</si>
  <si>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</si>
  <si>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</si>
  <si>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</si>
  <si>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</si>
  <si>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</si>
  <si>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</si>
  <si>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</si>
  <si>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</si>
  <si>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</si>
  <si>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</si>
  <si>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</si>
  <si>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</si>
  <si>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</si>
  <si>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</si>
  <si>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</si>
  <si>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</si>
  <si>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</si>
  <si>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</si>
  <si>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</si>
  <si>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</si>
  <si>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</si>
  <si>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</si>
  <si>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</si>
  <si>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</si>
  <si>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</si>
  <si>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</si>
  <si>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</si>
  <si>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</si>
  <si>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</si>
  <si>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</si>
  <si>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</si>
  <si>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</si>
  <si>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</si>
  <si>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</si>
  <si>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</si>
  <si>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</si>
  <si>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</si>
  <si>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</si>
  <si>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</si>
  <si>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</si>
  <si>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</si>
  <si>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</si>
  <si>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</si>
  <si>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</si>
  <si>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</si>
  <si>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</si>
  <si>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</si>
  <si>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</si>
  <si>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</si>
  <si>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</si>
  <si>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</si>
  <si>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</si>
  <si>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</si>
  <si>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</si>
  <si>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</si>
  <si>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</si>
  <si>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</si>
  <si>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</si>
  <si>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</si>
  <si>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</si>
  <si>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</si>
  <si>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</si>
  <si>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</si>
  <si>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</si>
  <si>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</si>
  <si>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</si>
  <si>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</si>
  <si>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</si>
  <si>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</si>
  <si>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</si>
  <si>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</si>
  <si>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</si>
  <si>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</si>
  <si>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</si>
  <si>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</si>
  <si>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</si>
  <si>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</si>
  <si>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</si>
  <si>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</si>
  <si>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</si>
  <si>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</si>
  <si>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</si>
  <si>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</si>
  <si>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</si>
  <si>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</si>
  <si>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</si>
  <si>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</si>
  <si>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</si>
  <si>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</si>
  <si>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</si>
  <si>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</si>
  <si>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</si>
  <si>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</si>
  <si>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</si>
  <si>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</si>
  <si>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</si>
  <si>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</si>
  <si>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</si>
  <si>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</si>
  <si>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</si>
  <si>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</si>
  <si>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</si>
  <si>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</si>
  <si>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</si>
  <si>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</si>
  <si>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</si>
  <si>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</si>
  <si>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</si>
  <si>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</si>
  <si>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</si>
  <si>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</si>
  <si>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</si>
  <si>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</si>
  <si>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</si>
  <si>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</si>
  <si>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</si>
  <si>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</si>
  <si>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</si>
  <si>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</si>
  <si>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</si>
  <si>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</si>
  <si>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</si>
  <si>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</si>
  <si>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</si>
  <si>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</si>
  <si>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</si>
  <si>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</si>
  <si>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</si>
  <si>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</si>
  <si>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</si>
  <si>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</si>
  <si>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</si>
  <si>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</si>
  <si>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</si>
  <si>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</si>
  <si>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</si>
  <si>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</si>
  <si>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</si>
  <si>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</si>
  <si>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</si>
  <si>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</si>
  <si>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</si>
  <si>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</si>
  <si>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</si>
  <si>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</si>
  <si>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</si>
  <si>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</si>
  <si>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</si>
  <si>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</si>
  <si>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</si>
  <si>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</si>
  <si>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</si>
  <si>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</si>
  <si>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</si>
  <si>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</si>
  <si>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</si>
  <si>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</si>
  <si>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</si>
  <si>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</si>
  <si>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</si>
  <si>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</si>
  <si>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</si>
  <si>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</si>
  <si>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</si>
  <si>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</si>
  <si>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</si>
  <si>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</si>
  <si>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</si>
  <si>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</si>
  <si>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</si>
  <si>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</si>
  <si>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</si>
  <si>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</si>
  <si>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</si>
  <si>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</si>
  <si>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</si>
  <si>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</si>
  <si>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</si>
  <si>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</si>
  <si>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</si>
  <si>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</si>
  <si>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</si>
  <si>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</si>
  <si>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</si>
  <si>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</si>
  <si>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</si>
  <si>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</si>
  <si>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</si>
  <si>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</si>
  <si>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</si>
  <si>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</si>
  <si>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</si>
  <si>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</si>
  <si>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</si>
  <si>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</si>
  <si>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</si>
  <si>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</si>
  <si>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</si>
  <si>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</si>
  <si>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</si>
  <si>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</si>
  <si>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</si>
  <si>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</si>
  <si>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</si>
  <si>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</si>
  <si>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</si>
  <si>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</si>
  <si>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</si>
  <si>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</si>
  <si>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</si>
  <si>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</si>
  <si>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</si>
  <si>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</si>
  <si>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</si>
  <si>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</si>
  <si>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</si>
  <si>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</si>
  <si>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</si>
  <si>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</si>
  <si>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</si>
  <si>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</si>
  <si>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</si>
  <si>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</si>
  <si>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</si>
  <si>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</si>
  <si>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</si>
  <si>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</si>
  <si>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</si>
  <si>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</si>
  <si>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</si>
  <si>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</si>
  <si>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</si>
  <si>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</si>
  <si>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</si>
  <si>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</si>
  <si>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</si>
  <si>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</si>
  <si>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</si>
  <si>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</si>
  <si>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</si>
  <si>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</si>
  <si>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</si>
  <si>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</si>
  <si>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</si>
  <si>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</si>
  <si>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</si>
  <si>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</si>
  <si>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</si>
  <si>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</si>
  <si>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</si>
  <si>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</si>
  <si>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</si>
  <si>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</si>
  <si>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</si>
  <si>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</si>
  <si>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</si>
  <si>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</si>
  <si>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</si>
  <si>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</si>
  <si>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</si>
  <si>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</si>
  <si>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</si>
  <si>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</si>
  <si>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</si>
  <si>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</si>
  <si>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</si>
  <si>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</si>
  <si>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</si>
  <si>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</si>
  <si>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</si>
  <si>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</si>
  <si>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</si>
  <si>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</si>
  <si>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</si>
  <si>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</si>
  <si>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</si>
  <si>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</si>
  <si>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</si>
  <si>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</si>
  <si>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</si>
  <si>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</si>
  <si>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</si>
  <si>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</si>
  <si>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</si>
  <si>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</si>
  <si>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</si>
  <si>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</si>
  <si>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</si>
  <si>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</si>
  <si>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</si>
  <si>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</si>
  <si>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</si>
  <si>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</si>
  <si>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</si>
  <si>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</si>
  <si>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</si>
  <si>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</si>
  <si>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</si>
  <si>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</si>
  <si>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</si>
  <si>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</si>
  <si>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</si>
  <si>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</si>
  <si>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</si>
  <si>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</si>
  <si>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</si>
  <si>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</si>
  <si>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</si>
  <si>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</si>
  <si>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</si>
  <si>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</si>
  <si>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</si>
  <si>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</si>
  <si>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</si>
  <si>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</si>
  <si>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</si>
  <si>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</si>
  <si>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</si>
  <si>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</si>
  <si>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</si>
  <si>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</si>
  <si>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</si>
  <si>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</si>
  <si>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</si>
  <si>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</si>
  <si>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</si>
  <si>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</si>
  <si>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</si>
  <si>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</si>
  <si>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</si>
  <si>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</si>
  <si>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</si>
  <si>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</si>
  <si>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</si>
  <si>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</si>
  <si>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</si>
  <si>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</si>
  <si>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</si>
  <si>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</si>
  <si>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</si>
  <si>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</si>
  <si>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</si>
  <si>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</si>
  <si>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</si>
  <si>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</si>
  <si>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</si>
  <si>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</si>
  <si>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</si>
  <si>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</si>
  <si>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</si>
  <si>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</si>
  <si>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</si>
  <si>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</si>
  <si>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</si>
  <si>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</si>
  <si>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</si>
  <si>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</si>
  <si>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</si>
  <si>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</si>
  <si>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</si>
  <si>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</si>
  <si>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</si>
  <si>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</si>
  <si>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</si>
  <si>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</si>
  <si>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</si>
  <si>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</si>
  <si>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</si>
  <si>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</si>
  <si>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</si>
  <si>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</si>
  <si>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</si>
  <si>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</si>
  <si>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</si>
  <si>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</si>
  <si>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</si>
  <si>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</si>
  <si>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</si>
  <si>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</si>
  <si>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</si>
  <si>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</si>
  <si>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</si>
  <si>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</si>
  <si>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</si>
  <si>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</si>
  <si>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</si>
  <si>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</si>
  <si>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</si>
  <si>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</si>
  <si>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</si>
  <si>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</si>
  <si>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</si>
  <si>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</si>
  <si>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</si>
  <si>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</si>
  <si>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</si>
  <si>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</si>
  <si>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</si>
  <si>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</si>
  <si>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</si>
  <si>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</si>
  <si>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</si>
  <si>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</si>
  <si>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</si>
  <si>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</si>
  <si>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</si>
  <si>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</si>
  <si>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</si>
  <si>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</si>
  <si>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</si>
  <si>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</si>
  <si>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</si>
  <si>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</si>
  <si>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</si>
  <si>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</si>
  <si>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</si>
  <si>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</si>
  <si>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</si>
  <si>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</si>
  <si>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</si>
  <si>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</si>
  <si>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</si>
  <si>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</si>
  <si>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</si>
  <si>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</si>
  <si>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</si>
  <si>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</si>
  <si>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</si>
  <si>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</si>
  <si>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</si>
  <si>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</si>
  <si>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</si>
  <si>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</si>
  <si>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</si>
  <si>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</si>
  <si>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</si>
  <si>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</si>
  <si>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</si>
  <si>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</si>
  <si>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</si>
  <si>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</si>
  <si>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</si>
  <si>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</si>
  <si>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</si>
  <si>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</si>
  <si>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</si>
  <si>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</si>
  <si>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</si>
  <si>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</si>
  <si>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</si>
  <si>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</si>
  <si>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</si>
  <si>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</si>
  <si>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</si>
  <si>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</si>
  <si>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</si>
  <si>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</si>
  <si>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</si>
  <si>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</si>
  <si>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</si>
  <si>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</si>
  <si>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</si>
  <si>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</si>
  <si>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</si>
  <si>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</si>
  <si>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</si>
  <si>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</si>
  <si>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</si>
  <si>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</si>
  <si>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</si>
  <si>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</si>
  <si>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</si>
  <si>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</si>
  <si>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</si>
  <si>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</si>
  <si>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</si>
  <si>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</si>
  <si>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</si>
  <si>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</si>
  <si>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</si>
  <si>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</si>
  <si>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</si>
  <si>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</si>
  <si>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</si>
  <si>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</si>
  <si>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</si>
  <si>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</si>
  <si>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</si>
  <si>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</si>
  <si>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</si>
  <si>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</si>
  <si>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</si>
  <si>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</si>
  <si>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</si>
  <si>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</si>
  <si>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</si>
  <si>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</si>
  <si>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</si>
  <si>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</si>
  <si>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</si>
  <si>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</si>
  <si>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</si>
  <si>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</si>
  <si>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</si>
  <si>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</si>
  <si>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</si>
  <si>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</si>
  <si>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</si>
  <si>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</si>
  <si>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</si>
  <si>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</si>
  <si>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</si>
  <si>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</si>
  <si>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</si>
  <si>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</si>
  <si>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</si>
  <si>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</si>
  <si>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</si>
  <si>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</si>
  <si>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</si>
  <si>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</si>
  <si>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</si>
  <si>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</si>
  <si>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</si>
  <si>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</si>
  <si>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</si>
  <si>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</si>
  <si>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</si>
  <si>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</si>
  <si>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</si>
  <si>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</si>
  <si>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</si>
  <si>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</si>
  <si>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</si>
  <si>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</si>
  <si>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</si>
  <si>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</si>
  <si>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</si>
  <si>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</si>
  <si>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</si>
  <si>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</si>
  <si>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</si>
  <si>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</si>
  <si>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</si>
  <si>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</si>
  <si>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</si>
  <si>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</si>
  <si>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</si>
  <si>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</si>
  <si>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</si>
  <si>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</si>
  <si>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</si>
  <si>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</si>
  <si>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</si>
  <si>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</si>
  <si>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</si>
  <si>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</si>
  <si>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</si>
  <si>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</si>
  <si>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</si>
  <si>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</si>
  <si>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</si>
  <si>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</si>
  <si>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</si>
  <si>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</si>
  <si>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</si>
  <si>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</si>
  <si>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</si>
  <si>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</si>
  <si>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</si>
  <si>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</si>
  <si>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</si>
  <si>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</si>
  <si>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</si>
  <si>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</si>
  <si>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</si>
  <si>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</si>
  <si>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</si>
  <si>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</si>
  <si>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</si>
  <si>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</si>
  <si>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</si>
  <si>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</si>
  <si>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</si>
  <si>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</si>
  <si>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</si>
  <si>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</si>
  <si>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</si>
  <si>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</si>
  <si>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</si>
  <si>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</si>
  <si>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</si>
  <si>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</si>
  <si>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</si>
  <si>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</si>
  <si>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</si>
  <si>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</si>
  <si>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</si>
  <si>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</si>
  <si>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</si>
  <si>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</si>
  <si>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</si>
  <si>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</si>
  <si>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</si>
  <si>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</si>
  <si>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</si>
  <si>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</si>
  <si>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</si>
  <si>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</si>
  <si>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</si>
  <si>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</si>
  <si>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</si>
  <si>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</si>
  <si>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</si>
  <si>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</si>
  <si>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</si>
  <si>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</si>
  <si>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</si>
  <si>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</si>
  <si>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</si>
  <si>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</si>
  <si>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</si>
  <si>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</si>
  <si>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</si>
  <si>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</si>
  <si>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</si>
  <si>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</si>
  <si>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</si>
  <si>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</si>
  <si>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</si>
  <si>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</si>
  <si>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</si>
  <si>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</si>
  <si>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</si>
  <si>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</si>
  <si>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</si>
  <si>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</si>
  <si>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</si>
  <si>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</si>
  <si>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</si>
  <si>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</si>
  <si>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</si>
  <si>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</si>
  <si>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</si>
  <si>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</si>
  <si>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</si>
  <si>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</si>
  <si>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</si>
  <si>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</si>
  <si>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</si>
  <si>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</si>
  <si>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</si>
  <si>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</si>
  <si>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Vzdálenost od okraje</t>
  </si>
  <si>
    <t>Vzdialenosť od okraja</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</si>
  <si>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</si>
  <si>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</si>
  <si>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</si>
  <si>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</si>
  <si>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</si>
  <si>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</si>
  <si>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</si>
  <si>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</si>
  <si>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</si>
  <si>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</si>
  <si>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</si>
  <si>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</si>
  <si>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</si>
  <si>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</si>
  <si>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</si>
  <si>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</si>
  <si>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</si>
  <si>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</si>
  <si>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</si>
  <si>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</si>
  <si>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</si>
  <si>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</si>
  <si>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</si>
  <si>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</si>
  <si>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</si>
  <si>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</si>
  <si>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</si>
  <si>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</si>
  <si>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</si>
  <si>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</si>
  <si>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</si>
  <si>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</si>
  <si>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</si>
  <si>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</si>
  <si>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</si>
  <si>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</si>
  <si>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</si>
  <si>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</si>
  <si>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</si>
  <si>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</si>
  <si>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</si>
  <si>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</si>
  <si>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</si>
  <si>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</si>
  <si>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</si>
  <si>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</si>
  <si>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</si>
  <si>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</si>
  <si>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</si>
  <si>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</si>
  <si>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</si>
  <si>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</si>
  <si>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</si>
  <si>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</si>
  <si>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</si>
  <si>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</si>
  <si>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</si>
  <si>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</si>
  <si>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</si>
  <si>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</si>
  <si>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</si>
  <si>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</si>
  <si>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</si>
  <si>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</si>
  <si>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</si>
  <si>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</si>
  <si>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</si>
  <si>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</si>
  <si>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</si>
  <si>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</si>
  <si>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</si>
  <si>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</si>
  <si>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</si>
  <si>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</si>
  <si>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</si>
  <si>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</si>
  <si>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</si>
  <si>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</si>
  <si>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max. rozměr 1000x500mm</t>
  </si>
  <si>
    <t>max. rozmer 1000x500mm</t>
  </si>
  <si>
    <t>maks. wymiar 1000x500mm</t>
  </si>
  <si>
    <t>max. méret 1000x500</t>
  </si>
  <si>
    <t>max. dimension 1000x500</t>
  </si>
  <si>
    <t>Typ síťky</t>
  </si>
  <si>
    <t>Typ sieťky</t>
  </si>
  <si>
    <t>Rodzaj siatky</t>
  </si>
  <si>
    <t>Hálós típus</t>
  </si>
  <si>
    <t>Mesh type</t>
  </si>
  <si>
    <t>síťka_pro_zlatýprofil</t>
  </si>
  <si>
    <t>síťka_pro_černýprofil</t>
  </si>
  <si>
    <t>síťka_pro_bílýprofil</t>
  </si>
  <si>
    <t>síťka_pro_eloxprofil</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</si>
  <si>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</si>
  <si>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</si>
  <si>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</si>
  <si>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</si>
  <si>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</si>
  <si>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</si>
  <si>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</si>
  <si>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</si>
  <si>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</si>
  <si>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</si>
  <si>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</si>
  <si>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</si>
  <si>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</si>
  <si>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</si>
  <si>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</si>
  <si>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</si>
  <si>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</si>
  <si>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</si>
  <si>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</si>
  <si>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</si>
  <si>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</si>
  <si>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</si>
  <si>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</si>
  <si>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</si>
  <si>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</si>
  <si>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</si>
  <si>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</si>
  <si>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</si>
  <si>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</si>
  <si>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</si>
  <si>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</si>
  <si>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</si>
  <si>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</si>
  <si>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</si>
  <si>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</si>
  <si>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</si>
  <si>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</si>
  <si>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</si>
  <si>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</si>
  <si>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</si>
  <si>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</si>
  <si>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</si>
  <si>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</si>
  <si>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</si>
  <si>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</si>
  <si>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</si>
  <si>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</si>
  <si>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</si>
  <si>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</si>
  <si>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</si>
  <si>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</si>
  <si>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</si>
  <si>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</si>
  <si>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</si>
  <si>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</si>
  <si>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</si>
  <si>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</si>
  <si>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</si>
  <si>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</si>
  <si>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</si>
  <si>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</si>
  <si>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 naložený clip bez pružiny</t>
  </si>
  <si>
    <t xml:space="preserve">StrongHinges Naložený clip bez pružiny </t>
  </si>
  <si>
    <t xml:space="preserve">StrongHinges nakładany clip bez sprężyny </t>
  </si>
  <si>
    <t>StrongHinges ráütődő klip rugó nélkül</t>
  </si>
  <si>
    <t>StrongHinges polonaložený clip bez pružiny</t>
  </si>
  <si>
    <t>StrongHinges vložený bez pružiny</t>
  </si>
  <si>
    <t xml:space="preserve">StrongHinges wpuszczany bez sprężyny </t>
  </si>
  <si>
    <t>StrongHinges 30° clip bez pružiny</t>
  </si>
  <si>
    <t>StrongHinges 30° clip  bez pružiny</t>
  </si>
  <si>
    <t xml:space="preserve">StrongHinges 30° clip bez sprężyny </t>
  </si>
  <si>
    <t>StrongHinges 30° klip rugó nélkül</t>
  </si>
  <si>
    <t>StrongHinges naložený clip</t>
  </si>
  <si>
    <t>StrongHinges nakładany Clip</t>
  </si>
  <si>
    <t>StrongHinges ráütődő klip</t>
  </si>
  <si>
    <t>StrongHinges polonaložený clip</t>
  </si>
  <si>
    <t>StrongHinges półnakładany ¨clip</t>
  </si>
  <si>
    <t>StrongHinges vložený clip</t>
  </si>
  <si>
    <t>StrongHinges wpuszczany Clip</t>
  </si>
  <si>
    <t>StrongHinges 30°clip</t>
  </si>
  <si>
    <t>StrongHinges Clip vrut s excentrem H0</t>
  </si>
  <si>
    <t>StrongHinges Clip vrut s excentrom H0</t>
  </si>
  <si>
    <t>StrongHinges Clip wkręt z mimośrodem H0</t>
  </si>
  <si>
    <t>StrongHinges Excentes klipes csavar H0</t>
  </si>
  <si>
    <t>StrongHinges Clip vrut s excentrem H2</t>
  </si>
  <si>
    <t>StrongHinges Clip vrut s excentrom H2</t>
  </si>
  <si>
    <t>StrongHinges Clip wkręt z mimośrodem H2</t>
  </si>
  <si>
    <t>StrongHinges Excentes klipes csavar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</si>
  <si>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</si>
  <si>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</si>
  <si>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</si>
  <si>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</si>
  <si>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</si>
  <si>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</si>
  <si>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</si>
  <si>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</si>
  <si>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</si>
  <si>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</si>
  <si>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</si>
  <si>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</si>
  <si>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</si>
  <si>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</si>
  <si>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</si>
  <si>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</si>
  <si>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</si>
  <si>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</si>
  <si>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STRONGHINGES závěs naložený na alu rámeček, s tlumením, klipový</t>
  </si>
  <si>
    <t>STRONGHINGES závěs naložený s tlumením, s excentrem, klipový</t>
  </si>
  <si>
    <t>STRONGHINGES závěs naložený, bez pružiny, klipový</t>
  </si>
  <si>
    <t>STRONGHINGES závěs polonaložený s tlumením, s excentrem, klipový</t>
  </si>
  <si>
    <t>STRONGHINGES závěs polonaložený, bez pružiny, klipový</t>
  </si>
  <si>
    <t>STRONGHINGES závěs vložený s tlumením, s excentrem,  klipový</t>
  </si>
  <si>
    <t>STRONGHINGES závěs vložený, bez pružiny, klipový</t>
  </si>
  <si>
    <t>STRONGHINGES závěs 30° s tlumením, klipový</t>
  </si>
  <si>
    <t>STRONGHINGES závěs 30° bez pružiny, klipový</t>
  </si>
  <si>
    <t>STRONGHINGES závěs naložený na alu rámeček, bez pružiny, klipový</t>
  </si>
  <si>
    <t xml:space="preserve">StrongHinges półnakładany clip bez sprężyny </t>
  </si>
  <si>
    <t>StrongHinges féligráütődő klip rugó nélkül</t>
  </si>
  <si>
    <t>StrongHinges közzézáródó rugó nélkül</t>
  </si>
  <si>
    <t>StrongHinges féligráütődő klip</t>
  </si>
  <si>
    <t>StrongHinges közzézáródó klip</t>
  </si>
  <si>
    <t>StrongHinges vložený clip bez pružiny</t>
  </si>
  <si>
    <t>StrongHinges Clip  - euroscrew H0</t>
  </si>
  <si>
    <t>StrongHinges Clip  - screw H0</t>
  </si>
  <si>
    <t>StrongHinges Clip  - euroscrew H2</t>
  </si>
  <si>
    <t>StrongHinges Clip  - screw H2</t>
  </si>
  <si>
    <t>StrongHinges full-overlay clip without spring</t>
  </si>
  <si>
    <t>StrongHinges 30 ° clip without spring</t>
  </si>
  <si>
    <t>StrongHinges full-overlay clip</t>
  </si>
  <si>
    <t>StrongHinges semi-overlay clip</t>
  </si>
  <si>
    <t>StrongHinges inset clip</t>
  </si>
  <si>
    <t>StrongHinges 30 ° clip</t>
  </si>
  <si>
    <t>StrongHinges Clip screw with eccentric H0</t>
  </si>
  <si>
    <t>StrongHinges Clip screw with eccentric H2</t>
  </si>
  <si>
    <t>StrongHinges inset clip without spring</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</si>
  <si>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</si>
  <si>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</si>
  <si>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</si>
  <si>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</si>
  <si>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</si>
  <si>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</si>
  <si>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</si>
  <si>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</si>
  <si>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</si>
  <si>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</si>
  <si>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</si>
  <si>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</si>
  <si>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</si>
  <si>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</si>
  <si>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</si>
  <si>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</si>
  <si>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</si>
  <si>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</si>
  <si>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</si>
  <si>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</si>
  <si>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</si>
  <si>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</si>
  <si>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</si>
  <si>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</si>
  <si>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Varna elox (Left and Right) + Siena (Top and Bottom)</t>
  </si>
  <si>
    <t>Varna elox (Left and Right) + Palio (Top and Bottom)</t>
  </si>
  <si>
    <t>Varna elox (Left and Right) + Rocca (Top and Bottom)</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</si>
  <si>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</si>
  <si>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</si>
  <si>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</si>
  <si>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</si>
  <si>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</si>
  <si>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</si>
  <si>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</si>
  <si>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</si>
  <si>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</si>
  <si>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</si>
  <si>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</si>
  <si>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</si>
  <si>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</si>
  <si>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</si>
  <si>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</si>
  <si>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</si>
  <si>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</si>
  <si>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</si>
  <si>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</si>
  <si>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</si>
  <si>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</si>
  <si>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</si>
  <si>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</si>
  <si>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</si>
  <si>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</si>
  <si>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</si>
  <si>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</si>
  <si>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</si>
  <si>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</si>
  <si>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</si>
  <si>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</si>
  <si>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</si>
  <si>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</si>
  <si>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</si>
  <si>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</si>
  <si>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</si>
  <si>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</si>
  <si>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</si>
  <si>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</si>
  <si>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</si>
  <si>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</si>
  <si>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</si>
  <si>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</si>
  <si>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</si>
  <si>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</si>
  <si>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</si>
  <si>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</si>
  <si>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</si>
  <si>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</si>
  <si>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</si>
  <si>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</si>
  <si>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</si>
  <si>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</si>
  <si>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</si>
  <si>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</si>
  <si>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</si>
  <si>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</si>
  <si>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</si>
  <si>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</si>
  <si>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</si>
  <si>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</si>
  <si>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</si>
  <si>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</si>
  <si>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</si>
  <si>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</si>
  <si>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</si>
  <si>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</si>
  <si>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</si>
  <si>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</si>
  <si>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</si>
  <si>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</si>
  <si>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</si>
  <si>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</si>
  <si>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</si>
  <si>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</si>
  <si>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</si>
  <si>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</si>
  <si>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</si>
  <si>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</si>
  <si>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</si>
  <si>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</si>
  <si>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</si>
  <si>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</si>
  <si>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</si>
  <si>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</si>
  <si>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</si>
  <si>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</si>
  <si>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</si>
  <si>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</si>
  <si>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</si>
  <si>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</si>
  <si>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</si>
  <si>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</si>
  <si>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</si>
  <si>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</si>
  <si>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</si>
  <si>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</si>
  <si>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</si>
  <si>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</si>
  <si>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</si>
  <si>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</si>
  <si>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</si>
  <si>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</si>
  <si>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</si>
  <si>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</si>
  <si>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</si>
  <si>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</si>
  <si>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</si>
  <si>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</si>
  <si>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</si>
  <si>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</si>
  <si>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</si>
  <si>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</si>
  <si>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</si>
  <si>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</si>
  <si>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</si>
  <si>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</si>
  <si>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</si>
  <si>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</si>
  <si>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</si>
  <si>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</si>
  <si>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</si>
  <si>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</si>
  <si>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</si>
  <si>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</si>
  <si>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</si>
  <si>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</si>
  <si>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</si>
  <si>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</si>
  <si>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</si>
  <si>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</si>
  <si>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</si>
  <si>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</si>
  <si>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</si>
  <si>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</si>
  <si>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</si>
  <si>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</si>
  <si>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</si>
  <si>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</si>
  <si>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</si>
  <si>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</si>
  <si>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</si>
  <si>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</si>
  <si>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</si>
  <si>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</si>
  <si>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</si>
  <si>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</si>
  <si>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</si>
  <si>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</si>
  <si>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</si>
  <si>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</si>
  <si>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</si>
  <si>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</si>
  <si>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</si>
  <si>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</si>
  <si>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</si>
  <si>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</si>
  <si>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</si>
  <si>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</si>
  <si>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</si>
  <si>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</si>
  <si>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</si>
  <si>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</si>
  <si>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</si>
  <si>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</si>
  <si>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</si>
  <si>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</si>
  <si>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</si>
  <si>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</si>
  <si>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</si>
  <si>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</si>
  <si>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</si>
  <si>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</si>
  <si>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</si>
  <si>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</si>
  <si>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</si>
  <si>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</si>
  <si>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</si>
  <si>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</si>
  <si>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</si>
  <si>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</si>
  <si>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</si>
  <si>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</si>
  <si>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</si>
  <si>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</si>
  <si>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</si>
  <si>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</si>
  <si>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</si>
  <si>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</si>
  <si>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</si>
  <si>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</si>
  <si>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</si>
  <si>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</si>
  <si>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</si>
  <si>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</si>
  <si>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</si>
  <si>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</si>
  <si>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</si>
  <si>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</si>
  <si>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</si>
  <si>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</si>
  <si>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</si>
  <si>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</si>
  <si>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</si>
  <si>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</si>
  <si>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</si>
  <si>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</si>
  <si>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</si>
  <si>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</si>
  <si>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</si>
  <si>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</si>
  <si>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</si>
  <si>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</si>
  <si>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</si>
  <si>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</si>
  <si>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</si>
  <si>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</si>
  <si>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</si>
  <si>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</si>
  <si>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</si>
  <si>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</si>
  <si>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</si>
  <si>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</si>
  <si>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</si>
  <si>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</si>
  <si>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</si>
  <si>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</si>
  <si>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</si>
  <si>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</si>
  <si>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</si>
  <si>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</si>
  <si>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</si>
  <si>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</si>
  <si>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</si>
  <si>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</si>
  <si>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</si>
  <si>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</si>
  <si>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</si>
  <si>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</si>
  <si>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</si>
  <si>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</si>
  <si>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</si>
  <si>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</si>
  <si>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</si>
  <si>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</si>
  <si>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</si>
  <si>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</si>
  <si>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</si>
  <si>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</si>
  <si>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</si>
  <si>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</si>
  <si>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</si>
  <si>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</si>
  <si>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</si>
  <si>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</si>
  <si>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</si>
  <si>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</si>
  <si>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</si>
  <si>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</si>
  <si>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</si>
  <si>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</si>
  <si>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</si>
  <si>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</si>
  <si>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</si>
  <si>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</si>
  <si>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</si>
  <si>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</si>
  <si>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</si>
  <si>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</si>
  <si>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</si>
  <si>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</si>
  <si>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</si>
  <si>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</si>
  <si>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</si>
  <si>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</si>
  <si>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</si>
  <si>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</si>
  <si>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</si>
  <si>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</si>
  <si>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</si>
  <si>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</si>
  <si>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</si>
  <si>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</si>
  <si>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</si>
  <si>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</si>
  <si>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</si>
  <si>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</si>
  <si>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</si>
  <si>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</si>
  <si>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</si>
  <si>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</si>
  <si>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</si>
  <si>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</si>
  <si>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</si>
  <si>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</si>
  <si>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</si>
  <si>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</si>
  <si>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</si>
  <si>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</si>
  <si>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</si>
  <si>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</si>
  <si>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</si>
  <si>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</si>
  <si>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</si>
  <si>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</si>
  <si>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</si>
  <si>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</si>
  <si>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</si>
  <si>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</si>
  <si>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</si>
  <si>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</si>
  <si>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</si>
  <si>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</si>
  <si>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</si>
  <si>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</si>
  <si>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</si>
  <si>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</si>
  <si>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</si>
  <si>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</si>
  <si>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</si>
  <si>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</si>
  <si>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</si>
  <si>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</si>
  <si>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</si>
  <si>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</si>
  <si>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</si>
  <si>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</si>
  <si>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</si>
  <si>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</si>
  <si>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</si>
  <si>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</si>
  <si>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</si>
  <si>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</si>
  <si>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</si>
  <si>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</si>
  <si>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</si>
  <si>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</si>
  <si>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</si>
  <si>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</si>
  <si>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</si>
  <si>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</si>
  <si>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</si>
  <si>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</si>
  <si>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</si>
  <si>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</si>
  <si>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</si>
  <si>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</si>
  <si>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</si>
  <si>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</si>
  <si>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</si>
  <si>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</si>
  <si>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</si>
  <si>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</si>
  <si>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</si>
  <si>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</si>
  <si>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</si>
  <si>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</si>
  <si>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</si>
  <si>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</si>
  <si>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</si>
  <si>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</si>
  <si>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</si>
  <si>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</si>
  <si>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</si>
  <si>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</si>
  <si>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</si>
  <si>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</si>
  <si>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</si>
  <si>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</si>
  <si>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</si>
  <si>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</si>
  <si>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</si>
  <si>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</si>
  <si>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</si>
  <si>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</si>
  <si>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</si>
  <si>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</si>
  <si>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</si>
  <si>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</si>
  <si>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</si>
  <si>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</si>
  <si>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</si>
  <si>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</si>
  <si>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</si>
  <si>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</si>
  <si>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</si>
  <si>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</si>
  <si>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</si>
  <si>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</si>
  <si>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</si>
  <si>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</si>
  <si>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</si>
  <si>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</si>
  <si>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</si>
  <si>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</si>
  <si>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</si>
  <si>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</si>
  <si>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</si>
  <si>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</si>
  <si>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</si>
  <si>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</si>
  <si>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</si>
  <si>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</si>
  <si>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</si>
  <si>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</si>
  <si>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</si>
  <si>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</si>
  <si>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</si>
  <si>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</si>
  <si>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</si>
  <si>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</si>
  <si>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</si>
  <si>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</si>
  <si>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</si>
  <si>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</si>
  <si>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</si>
  <si>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</si>
  <si>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</si>
  <si>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</si>
  <si>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</si>
  <si>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</si>
  <si>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</si>
  <si>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</si>
  <si>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</si>
  <si>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</si>
  <si>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</si>
  <si>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</si>
  <si>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</si>
  <si>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</si>
  <si>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</si>
  <si>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</si>
  <si>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</si>
  <si>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</si>
  <si>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</si>
  <si>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</si>
  <si>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</si>
  <si>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</si>
  <si>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</si>
  <si>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</si>
  <si>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</si>
  <si>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</si>
  <si>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</si>
  <si>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</si>
  <si>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</si>
  <si>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</si>
  <si>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</si>
  <si>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</si>
  <si>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</si>
  <si>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</si>
  <si>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</si>
  <si>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</si>
  <si>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</si>
  <si>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</si>
  <si>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</si>
  <si>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</si>
  <si>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</si>
  <si>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</si>
  <si>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</si>
  <si>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</si>
  <si>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</si>
  <si>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</si>
  <si>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</si>
  <si>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</si>
  <si>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</si>
  <si>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</si>
  <si>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</si>
  <si>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</si>
  <si>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</si>
  <si>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</si>
  <si>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</si>
  <si>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</si>
  <si>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</si>
  <si>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</si>
  <si>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</si>
  <si>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</si>
  <si>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</si>
  <si>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</si>
  <si>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</si>
  <si>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</si>
  <si>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</si>
  <si>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</si>
  <si>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</si>
  <si>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</si>
  <si>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</si>
  <si>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</si>
  <si>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</si>
  <si>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</si>
  <si>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</si>
  <si>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</si>
  <si>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</si>
  <si>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</si>
  <si>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</si>
  <si>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</si>
  <si>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</si>
  <si>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</si>
  <si>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</si>
  <si>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</si>
  <si>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</si>
  <si>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</si>
  <si>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</si>
  <si>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</si>
  <si>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</si>
  <si>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</si>
  <si>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</si>
  <si>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</si>
  <si>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</si>
  <si>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</si>
  <si>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</si>
  <si>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</si>
  <si>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</si>
  <si>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</si>
  <si>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</si>
  <si>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</si>
  <si>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</si>
  <si>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</si>
  <si>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</si>
  <si>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</si>
  <si>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</si>
  <si>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</si>
  <si>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</si>
  <si>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</si>
  <si>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</si>
  <si>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</si>
  <si>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</si>
  <si>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</si>
  <si>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</si>
  <si>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</si>
  <si>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</si>
  <si>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</si>
  <si>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</si>
  <si>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</si>
  <si>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</si>
  <si>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</si>
  <si>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</si>
  <si>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</si>
  <si>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</si>
  <si>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</si>
  <si>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</si>
  <si>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</si>
  <si>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</si>
  <si>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</si>
  <si>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</si>
  <si>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</si>
  <si>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</si>
  <si>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</si>
  <si>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</si>
  <si>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</si>
  <si>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</si>
  <si>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</si>
  <si>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</si>
  <si>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</si>
  <si>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</si>
  <si>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</si>
  <si>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</si>
  <si>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</si>
  <si>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</si>
  <si>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</si>
  <si>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</si>
  <si>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</si>
  <si>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</si>
  <si>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</si>
  <si>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</si>
  <si>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</si>
  <si>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</si>
  <si>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</si>
  <si>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</si>
  <si>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</si>
  <si>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</si>
  <si>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</si>
  <si>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</si>
  <si>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</si>
  <si>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</si>
  <si>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</si>
  <si>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</si>
  <si>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</si>
  <si>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</si>
  <si>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</si>
  <si>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</si>
  <si>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</si>
  <si>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</si>
  <si>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</si>
  <si>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</si>
  <si>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</si>
  <si>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</si>
  <si>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</si>
  <si>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hettich gorny 300279</t>
  </si>
  <si>
    <t>hettich gorny 104717</t>
  </si>
  <si>
    <t>blum gorny 12047</t>
  </si>
  <si>
    <t>strong gorny 350863</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</si>
  <si>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</si>
  <si>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</si>
  <si>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</si>
  <si>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</si>
  <si>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</si>
  <si>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</si>
  <si>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</si>
  <si>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</si>
  <si>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</si>
  <si>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</si>
  <si>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</si>
  <si>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</si>
  <si>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</si>
  <si>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</si>
  <si>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</si>
  <si>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</si>
  <si>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</si>
  <si>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</si>
  <si>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</si>
  <si>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</si>
  <si>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</si>
  <si>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</si>
  <si>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</si>
  <si>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</si>
  <si>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</si>
  <si>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</si>
  <si>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</si>
  <si>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</si>
  <si>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</si>
  <si>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</si>
  <si>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</si>
  <si>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</si>
  <si>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</si>
  <si>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</si>
  <si>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</si>
  <si>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</si>
  <si>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</si>
  <si>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</si>
  <si>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</si>
  <si>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</si>
  <si>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</si>
  <si>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</si>
  <si>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</si>
  <si>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</si>
  <si>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</si>
  <si>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</si>
  <si>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</si>
  <si>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</si>
  <si>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</si>
  <si>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</si>
  <si>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</si>
  <si>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</si>
  <si>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</si>
  <si>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</si>
  <si>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</si>
  <si>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</si>
  <si>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</si>
  <si>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</si>
  <si>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</si>
  <si>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</si>
  <si>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</si>
  <si>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</si>
  <si>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</si>
  <si>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</si>
  <si>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</si>
  <si>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</si>
  <si>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</si>
  <si>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</si>
  <si>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</si>
  <si>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</si>
  <si>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</si>
  <si>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</si>
  <si>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</si>
  <si>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</si>
  <si>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</si>
  <si>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</si>
  <si>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</si>
  <si>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</si>
  <si>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</si>
  <si>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</si>
  <si>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</si>
  <si>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</si>
  <si>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</si>
  <si>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</si>
  <si>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</si>
  <si>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</si>
  <si>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</si>
  <si>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</si>
  <si>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</si>
  <si>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</si>
  <si>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</si>
  <si>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</si>
  <si>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</si>
  <si>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</si>
  <si>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</si>
  <si>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</si>
  <si>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</si>
  <si>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</si>
  <si>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</si>
  <si>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blum z tłumieniem 12047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</si>
  <si>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</si>
  <si>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</si>
  <si>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</si>
  <si>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</si>
  <si>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</si>
  <si>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</si>
  <si>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</si>
  <si>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</si>
  <si>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</si>
  <si>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</si>
  <si>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</si>
  <si>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</si>
  <si>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</si>
  <si>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</si>
  <si>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strong alsó 350863</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</si>
  <si>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</si>
  <si>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</si>
  <si>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</si>
  <si>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</si>
  <si>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</si>
  <si>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</si>
  <si>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</si>
  <si>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</si>
  <si>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</si>
  <si>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</si>
  <si>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</si>
  <si>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</si>
  <si>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</si>
  <si>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</si>
  <si>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</si>
  <si>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</si>
  <si>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</si>
  <si>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</si>
  <si>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</si>
  <si>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</si>
  <si>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Pisa (elox.) </t>
  </si>
  <si>
    <t xml:space="preserve">Pisa Czarny matowy </t>
  </si>
  <si>
    <t xml:space="preserve">Vivaro złota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</si>
  <si>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</si>
  <si>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</si>
  <si>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</si>
  <si>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</si>
  <si>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</si>
  <si>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</si>
  <si>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</si>
  <si>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</si>
  <si>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</si>
  <si>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</si>
  <si>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</si>
  <si>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</si>
  <si>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</si>
  <si>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</si>
  <si>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</si>
  <si>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</si>
  <si>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</si>
  <si>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</si>
  <si>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</si>
  <si>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</si>
  <si>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</si>
  <si>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</si>
  <si>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</si>
  <si>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</si>
  <si>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</si>
  <si>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</si>
  <si>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</si>
  <si>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</si>
  <si>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</si>
  <si>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</si>
  <si>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</si>
  <si>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</si>
  <si>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</si>
  <si>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</si>
  <si>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</si>
  <si>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</si>
  <si>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</si>
  <si>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</si>
  <si>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</si>
  <si>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</si>
  <si>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</si>
  <si>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</si>
  <si>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</si>
  <si>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</si>
  <si>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</si>
  <si>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</si>
  <si>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</si>
  <si>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</si>
  <si>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</si>
  <si>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</si>
  <si>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</si>
  <si>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</si>
  <si>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</si>
  <si>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</si>
  <si>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</si>
  <si>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</si>
  <si>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</si>
  <si>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</si>
  <si>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</si>
  <si>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</si>
  <si>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</si>
  <si>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</si>
  <si>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</si>
  <si>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</si>
  <si>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</si>
  <si>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</si>
  <si>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</si>
  <si>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</si>
  <si>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</si>
  <si>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</si>
  <si>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</si>
  <si>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</si>
  <si>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</si>
  <si>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</si>
  <si>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</si>
  <si>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</si>
  <si>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</si>
  <si>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</si>
  <si>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</si>
  <si>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</si>
  <si>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</si>
  <si>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</si>
  <si>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</si>
  <si>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</si>
  <si>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</si>
  <si>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</si>
  <si>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</si>
  <si>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</si>
  <si>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</si>
  <si>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</si>
  <si>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</si>
  <si>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</si>
  <si>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</si>
  <si>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</si>
  <si>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</si>
  <si>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</si>
  <si>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</si>
  <si>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</si>
  <si>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</si>
  <si>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</si>
  <si>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</si>
  <si>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</si>
  <si>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</si>
  <si>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</si>
  <si>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</si>
  <si>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</si>
  <si>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</si>
  <si>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</si>
  <si>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</si>
  <si>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</si>
  <si>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</si>
  <si>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</si>
  <si>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</si>
  <si>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</si>
  <si>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</si>
  <si>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</si>
  <si>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</si>
  <si>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</si>
  <si>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</si>
  <si>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</si>
  <si>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</si>
  <si>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</si>
  <si>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</si>
  <si>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</si>
  <si>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</si>
  <si>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</si>
  <si>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</si>
  <si>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</si>
  <si>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</si>
  <si>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</si>
  <si>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</si>
  <si>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</si>
  <si>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</si>
  <si>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</si>
  <si>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</si>
  <si>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</si>
  <si>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</si>
  <si>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</si>
  <si>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</si>
  <si>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</si>
  <si>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</si>
  <si>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</si>
  <si>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</si>
  <si>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</si>
  <si>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</si>
  <si>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</si>
  <si>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</si>
  <si>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</si>
  <si>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</si>
  <si>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</si>
  <si>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</si>
  <si>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</si>
  <si>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</si>
  <si>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</si>
  <si>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</si>
  <si>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</si>
  <si>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</si>
  <si>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</si>
  <si>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</si>
  <si>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</si>
  <si>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</si>
  <si>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</si>
  <si>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</si>
  <si>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dolny 12106 / 71T950A</t>
  </si>
  <si>
    <t>blum tip-on 12109 / 70T950A.TL</t>
  </si>
  <si>
    <t>blum gorny 12047 / 71B3550</t>
  </si>
  <si>
    <t>blum z tłumieniem 118033</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</si>
  <si>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</si>
  <si>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</si>
  <si>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</si>
  <si>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</si>
  <si>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</si>
  <si>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</si>
  <si>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</si>
  <si>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</si>
  <si>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</si>
  <si>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</si>
  <si>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</si>
  <si>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</si>
  <si>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</si>
  <si>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</si>
  <si>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</si>
  <si>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</si>
  <si>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</si>
  <si>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</si>
  <si>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</si>
  <si>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</si>
  <si>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</si>
  <si>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</si>
  <si>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</si>
  <si>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</si>
  <si>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</si>
  <si>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</si>
  <si>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</si>
  <si>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</si>
  <si>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</si>
  <si>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</si>
  <si>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</si>
  <si>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</si>
  <si>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</si>
  <si>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</si>
  <si>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</si>
  <si>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</si>
  <si>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</si>
  <si>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</si>
  <si>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</si>
  <si>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</si>
  <si>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</si>
  <si>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</si>
  <si>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</si>
  <si>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</si>
  <si>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</si>
  <si>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</si>
  <si>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</si>
  <si>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</si>
  <si>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</si>
  <si>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</si>
  <si>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</si>
  <si>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</si>
  <si>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</si>
  <si>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</si>
  <si>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</si>
  <si>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</si>
  <si>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</si>
  <si>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</si>
  <si>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</si>
  <si>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</si>
  <si>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</si>
  <si>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</si>
  <si>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</si>
  <si>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</si>
  <si>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</si>
  <si>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</si>
  <si>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</si>
  <si>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</si>
  <si>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</si>
  <si>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</si>
  <si>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</si>
  <si>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</si>
  <si>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</si>
  <si>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</si>
  <si>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</si>
  <si>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</si>
  <si>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</si>
  <si>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</si>
  <si>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</si>
  <si>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</si>
  <si>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</si>
  <si>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</si>
  <si>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</si>
  <si>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</si>
  <si>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</si>
  <si>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</si>
  <si>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</si>
  <si>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</si>
  <si>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</si>
  <si>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</si>
  <si>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</si>
  <si>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</si>
  <si>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</si>
  <si>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</si>
  <si>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</si>
  <si>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</si>
  <si>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</si>
  <si>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</si>
  <si>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</si>
  <si>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</si>
  <si>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</si>
  <si>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</si>
  <si>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</si>
  <si>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</si>
  <si>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</si>
  <si>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</si>
  <si>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</si>
  <si>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</si>
  <si>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</si>
  <si>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</si>
  <si>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</si>
  <si>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</si>
  <si>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</si>
  <si>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</si>
  <si>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</si>
  <si>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</si>
  <si>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</si>
  <si>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</si>
  <si>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</si>
  <si>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</si>
  <si>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</si>
  <si>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</si>
  <si>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</si>
  <si>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</si>
  <si>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</si>
  <si>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</si>
  <si>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</si>
  <si>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</si>
  <si>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</si>
  <si>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</si>
  <si>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</si>
  <si>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</si>
  <si>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</si>
  <si>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</si>
  <si>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</si>
  <si>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</si>
  <si>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</si>
  <si>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</si>
  <si>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</si>
  <si>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</si>
  <si>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</si>
  <si>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</si>
  <si>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</si>
  <si>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</si>
  <si>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</si>
  <si>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</si>
  <si>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</si>
  <si>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</si>
  <si>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</si>
  <si>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</si>
  <si>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</si>
  <si>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</si>
  <si>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</si>
  <si>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</si>
  <si>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</si>
  <si>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</si>
  <si>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</si>
  <si>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</si>
  <si>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</si>
  <si>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</si>
  <si>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</si>
  <si>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</si>
  <si>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</si>
  <si>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</si>
  <si>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</si>
  <si>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</si>
  <si>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</si>
  <si>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</si>
  <si>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</si>
  <si>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</si>
  <si>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</si>
  <si>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</si>
  <si>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</si>
  <si>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</si>
  <si>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</si>
  <si>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</si>
  <si>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</si>
  <si>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</si>
  <si>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</si>
  <si>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</si>
  <si>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</si>
  <si>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</si>
  <si>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</si>
  <si>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</si>
  <si>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</si>
  <si>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</si>
  <si>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</si>
  <si>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</si>
  <si>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</si>
  <si>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</si>
  <si>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</si>
  <si>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</si>
  <si>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</si>
  <si>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</si>
  <si>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</si>
  <si>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</si>
  <si>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</si>
  <si>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</si>
  <si>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</si>
  <si>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</si>
  <si>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</si>
  <si>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</si>
  <si>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</si>
  <si>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</si>
  <si>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</si>
  <si>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</si>
  <si>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</si>
  <si>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</si>
  <si>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</si>
  <si>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</si>
  <si>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</si>
  <si>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</si>
  <si>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</si>
  <si>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</si>
  <si>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</si>
  <si>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</si>
  <si>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</si>
  <si>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</si>
  <si>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</si>
  <si>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</si>
  <si>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</si>
  <si>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</si>
  <si>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</si>
  <si>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</si>
  <si>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</si>
  <si>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</si>
  <si>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</si>
  <si>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</si>
  <si>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</si>
  <si>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</si>
  <si>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</si>
  <si>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</si>
  <si>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</si>
  <si>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</si>
  <si>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</si>
  <si>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</si>
  <si>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</si>
  <si>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</si>
  <si>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</si>
  <si>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</si>
  <si>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</si>
  <si>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</si>
  <si>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</si>
  <si>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</si>
  <si>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</si>
  <si>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</si>
  <si>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</si>
  <si>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</si>
  <si>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</si>
  <si>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</si>
  <si>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</si>
  <si>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</si>
  <si>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</si>
  <si>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</si>
  <si>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</si>
  <si>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</si>
  <si>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</si>
  <si>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</si>
  <si>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</si>
  <si>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</si>
  <si>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</si>
  <si>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</si>
  <si>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</si>
  <si>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</si>
  <si>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</si>
  <si>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</si>
  <si>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</si>
  <si>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</si>
  <si>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</si>
  <si>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</si>
  <si>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</si>
  <si>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</si>
  <si>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</si>
  <si>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</si>
  <si>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výška</t>
  </si>
  <si>
    <t>šířka</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</si>
  <si>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</si>
  <si>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</si>
  <si>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</si>
  <si>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</si>
  <si>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</si>
  <si>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</si>
  <si>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</si>
  <si>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</si>
  <si>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</si>
  <si>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</si>
  <si>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</si>
  <si>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</si>
  <si>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</si>
  <si>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</si>
  <si>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</si>
  <si>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</si>
  <si>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</si>
  <si>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</si>
  <si>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</si>
  <si>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</si>
  <si>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</si>
  <si>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</si>
  <si>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</si>
  <si>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</si>
  <si>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</si>
  <si>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</si>
  <si>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</si>
  <si>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</si>
  <si>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</si>
  <si>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</si>
  <si>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</si>
  <si>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</si>
  <si>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</si>
  <si>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</si>
  <si>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</si>
  <si>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</si>
  <si>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</si>
  <si>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</si>
  <si>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</si>
  <si>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</si>
  <si>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</si>
  <si>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</si>
  <si>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</si>
  <si>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</si>
  <si>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</si>
  <si>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Ram_4</t>
  </si>
  <si>
    <t>Ram_5</t>
  </si>
  <si>
    <t>Ram_6</t>
  </si>
  <si>
    <t>Nejvyšší</t>
  </si>
  <si>
    <t>Koszt transportu musi zostać zweryfikowany</t>
  </si>
  <si>
    <t>0-600</t>
  </si>
  <si>
    <t>601-800</t>
  </si>
  <si>
    <t>801-1499</t>
  </si>
  <si>
    <t>1500-1999</t>
  </si>
  <si>
    <t>2000-2499</t>
  </si>
  <si>
    <t>nad 2500</t>
  </si>
  <si>
    <t>Ceník dopravy smontovaných rámečků Cordia</t>
  </si>
  <si>
    <t>Ceník dopravy demont rámečků Cordia</t>
  </si>
  <si>
    <t>0-1000</t>
  </si>
  <si>
    <t>1001-1500</t>
  </si>
  <si>
    <t>1501-2000</t>
  </si>
  <si>
    <t>2001-2500</t>
  </si>
  <si>
    <t>demont=1
smont=2</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</si>
  <si>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</si>
  <si>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</si>
  <si>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</si>
  <si>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</si>
  <si>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</si>
  <si>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</si>
  <si>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</si>
  <si>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</si>
  <si>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</si>
  <si>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</si>
  <si>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</si>
  <si>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</si>
  <si>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</si>
  <si>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</si>
  <si>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</si>
  <si>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</si>
  <si>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</si>
  <si>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</si>
  <si>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</si>
  <si>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</si>
  <si>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</si>
  <si>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</si>
  <si>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</si>
  <si>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</si>
  <si>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</si>
  <si>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</si>
  <si>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do 600x600 mm</t>
  </si>
  <si>
    <t>do 1499 x 600 mm</t>
  </si>
  <si>
    <t>max wymiar ramki</t>
  </si>
  <si>
    <t>Na palecie</t>
  </si>
  <si>
    <t>powyżej 1500 mm</t>
  </si>
  <si>
    <t>powyżej 2500 mm</t>
  </si>
  <si>
    <t>Ramki w elementach, same profile (bez szkła):</t>
  </si>
  <si>
    <t>profile o max długości</t>
  </si>
  <si>
    <t>do 1000 mm</t>
  </si>
  <si>
    <t>Koszty transportu &gt;</t>
  </si>
  <si>
    <t>počet rámečků</t>
  </si>
  <si>
    <t>Součet</t>
  </si>
  <si>
    <t>39,80 zł</t>
  </si>
  <si>
    <t>106,00 zł</t>
  </si>
  <si>
    <t>297,50 zł</t>
  </si>
  <si>
    <t>351,00 zł</t>
  </si>
  <si>
    <t>456,50 zł</t>
  </si>
  <si>
    <t>35,35 zł</t>
  </si>
  <si>
    <t>49,70 zł</t>
  </si>
  <si>
    <t>61,20 zł</t>
  </si>
  <si>
    <t>95,55 zł</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</si>
  <si>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</si>
  <si>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</si>
  <si>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</si>
  <si>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</si>
  <si>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</si>
  <si>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</si>
  <si>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</si>
  <si>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</si>
  <si>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</si>
  <si>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</si>
  <si>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</si>
  <si>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</si>
  <si>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</si>
  <si>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 xml:space="preserve"> 2000-2499 mm</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</si>
  <si>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</si>
  <si>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</si>
  <si>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</si>
  <si>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</si>
  <si>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</si>
  <si>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</si>
  <si>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</si>
  <si>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</si>
  <si>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</si>
  <si>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</si>
  <si>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</si>
  <si>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</si>
  <si>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</si>
  <si>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</si>
  <si>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</si>
  <si>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</si>
  <si>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</si>
  <si>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</si>
  <si>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</si>
  <si>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</si>
  <si>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</si>
  <si>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</si>
  <si>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</si>
  <si>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</si>
  <si>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</si>
  <si>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</si>
  <si>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</si>
  <si>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</si>
  <si>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</si>
  <si>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</si>
  <si>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</si>
  <si>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</si>
  <si>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</si>
  <si>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</si>
  <si>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</si>
  <si>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</si>
  <si>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</si>
  <si>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</si>
  <si>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</si>
  <si>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</si>
  <si>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</si>
  <si>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</si>
  <si>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</si>
  <si>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</si>
  <si>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</si>
  <si>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</si>
  <si>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</si>
  <si>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</si>
  <si>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</si>
  <si>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</si>
  <si>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</si>
  <si>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</si>
  <si>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</si>
  <si>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</si>
  <si>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</si>
  <si>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</si>
  <si>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</si>
  <si>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</si>
  <si>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</si>
  <si>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</si>
  <si>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</si>
  <si>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</si>
  <si>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</si>
  <si>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</si>
  <si>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</si>
  <si>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</si>
  <si>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</si>
  <si>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</si>
  <si>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</si>
  <si>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</si>
  <si>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</si>
  <si>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</si>
  <si>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</si>
  <si>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</si>
  <si>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</si>
  <si>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</si>
  <si>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</si>
  <si>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</si>
  <si>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</si>
  <si>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</si>
  <si>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</si>
  <si>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</si>
  <si>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</si>
  <si>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</si>
  <si>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</si>
  <si>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</si>
  <si>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</si>
  <si>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</si>
  <si>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</si>
  <si>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</si>
  <si>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</si>
  <si>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</si>
  <si>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</si>
  <si>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</si>
  <si>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</si>
  <si>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</si>
  <si>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</si>
  <si>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</si>
  <si>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</si>
  <si>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</si>
  <si>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</si>
  <si>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</si>
  <si>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_4</t>
  </si>
  <si>
    <t>_5</t>
  </si>
  <si>
    <t>_6</t>
  </si>
  <si>
    <t>_7</t>
  </si>
  <si>
    <t>_8</t>
  </si>
  <si>
    <t>_9</t>
  </si>
  <si>
    <t>_10</t>
  </si>
  <si>
    <t>_11</t>
  </si>
  <si>
    <t>_12</t>
  </si>
  <si>
    <t>I understand and accept the conditions and recomendations above.</t>
  </si>
  <si>
    <t>Francouština</t>
  </si>
  <si>
    <t>BRW (elox.) - longueur maximale recommandée du profil 2500 mm</t>
  </si>
  <si>
    <t>BRW antracite RAL 7021 - longueur maximale recommandée du profil 2500 mm</t>
  </si>
  <si>
    <t>BRW blanc mat RAL 9003 - longueur maximale recommandée du profil 2500 mm</t>
  </si>
  <si>
    <t>BRW blanc brillant RAL 9003 - longueur maximale recommandée du profil 2500 mm</t>
  </si>
  <si>
    <t>BRW marron - longueur maximale recommandée du profil 2500 mm</t>
  </si>
  <si>
    <t>BRW brossé - longueur maximale recommandée du profil 2500 mm</t>
  </si>
  <si>
    <t>BRW noir mat - longueur maximale recommandée du profil 2500 mm</t>
  </si>
  <si>
    <t>BRW doré - longueur maximale recommandée du profil 2500 mm</t>
  </si>
  <si>
    <t>BRW noir brossé - longueur maximale recommandée du profil 2500 mm</t>
  </si>
  <si>
    <t>BRW inox clair (ACIER GRATA) - longueur maximale recommandée du profil 2500 mm</t>
  </si>
  <si>
    <t>BRW inox foncé brossé (Inox lija) - longueur maximale recommandée du profil 2500 mm</t>
  </si>
  <si>
    <t>Corleone (elox.) - longueur maximale recommandée du profil 1500 mm</t>
  </si>
  <si>
    <t>Corleone noir mat - longueur maximale recommandée du profil 1500 mm</t>
  </si>
  <si>
    <t>Imola (elox.) - longueur maximale recommandée du profil 2500 mm</t>
  </si>
  <si>
    <t>Imola noir mat - longueur maximale recommandée du profil 2500 mm</t>
  </si>
  <si>
    <t>Imola blanc mat RAL 9003 - longueur maximale recommandée du profil 2500 mm</t>
  </si>
  <si>
    <t>Modena (elox.) - longueur maximale recommandée du profil 2500 mm</t>
  </si>
  <si>
    <t>Modena noir mat - longueur maximale recommandée du profil 2500 mm</t>
  </si>
  <si>
    <t>Verona doré - longueur maximale recommandée du profil 2150 mm</t>
  </si>
  <si>
    <t>Modena noir brossé - longueur maximale recommandée du profil 2500 mm</t>
  </si>
  <si>
    <t>Modena inox foncé brossé (inox lija) - longueur maximale recommandée du profil 2500 mm</t>
  </si>
  <si>
    <t>Palio (elox.) - longueur maximale recommandée du profil 2500 mm</t>
  </si>
  <si>
    <t>Palio noir mat - longueur maximale recommandée du profil 2500 mm</t>
  </si>
  <si>
    <t>Pisa (elox.) - longueur maximale recommandée du profil 2500 mm</t>
  </si>
  <si>
    <t>Pisa noir mat - longueur maximale recommandée du profil 2500 mm</t>
  </si>
  <si>
    <t>Vivaro doré - longueur maximale recommandée du profil 2150 mm</t>
  </si>
  <si>
    <t>Siena (elox.) - longueur maximale recommandée du profil 2500 mm</t>
  </si>
  <si>
    <t>Siena noir mat - longueur maximale recommandée du profil 2500 mm</t>
  </si>
  <si>
    <t>Verona (elox.) - longueur maximale recommandée du profil 2500 mm</t>
  </si>
  <si>
    <t>Verona aluminium brossé - longueur maximale recommandée du profil 2500 mm</t>
  </si>
  <si>
    <t>Verona noir brillant - longueur maximale recommandée du profil 2500 mm</t>
  </si>
  <si>
    <t>Verona noir mat - longueur maximale recommandée du profil 2500 mm</t>
  </si>
  <si>
    <t>Verona marron - longueur maximale recommandée du profil 2500 mm</t>
  </si>
  <si>
    <t>Verona champagne - longueur maximale recommandée du profil 2500 mm</t>
  </si>
  <si>
    <t>Verona inox foncé brossé - longueur maximale recommandée du profil 2500 mm</t>
  </si>
  <si>
    <t>Verona inox clair (Acier grata) - longueur maximale recommandée du profil 2500 mm</t>
  </si>
  <si>
    <t>Rocca noir mat - longueur maximale recommandée du profil 2150 mm</t>
  </si>
  <si>
    <t>Vivaro (elox.) - longueur maximale recommandée du profil 2500 mm</t>
  </si>
  <si>
    <t>Vivaro noir mat - longueur maximale recommandée du profil 2500 mm</t>
  </si>
  <si>
    <t>Imola doré - longueur maximale recommandée du profil 2150 mm</t>
  </si>
  <si>
    <t>Vivaro inox foncé brossé (inox lija) - longueur maximale recommandée du profil 2500 mm</t>
  </si>
  <si>
    <t>Vivaro blanc mat RAL 9003 - longueur maximale recommandée du profil 2500 mm</t>
  </si>
  <si>
    <t>Vivaro blanc brillant RAL 9003 - longueur maximale recommandée du profil 2500 mm</t>
  </si>
  <si>
    <t>Varna (elox.) - longueur maximale recommandée du profil 2500 mm</t>
  </si>
  <si>
    <t>Rocca (elox.) - longueur maximale recommandée du profil 2150 mm</t>
  </si>
  <si>
    <t>Pisa blanc mat RAL 9003 - longueur maximale recommandée du profil 2500 mm</t>
  </si>
  <si>
    <t>Pisa blanc brillant RAL 9003 - longueur maximale recommandée du profil 2500 mm</t>
  </si>
  <si>
    <t>Varna noir - longueur maximale recommandée du profil 1200 mm</t>
  </si>
  <si>
    <t>BRW doré brossé - longueur maximale recommandée du profil 2500 mm</t>
  </si>
  <si>
    <t>Verona doré brossé - longueur maximale recommandée du profil 2150 mm</t>
  </si>
  <si>
    <t>Vivaro doré brossé - longueur maximale recommandée du profil 2150 mm</t>
  </si>
  <si>
    <t>Pisa doré - longueur maximale recommandée du profil 2150 mm</t>
  </si>
  <si>
    <t>ASTI noir mat - longueur maximale recommandée du profil 2150 mm</t>
  </si>
  <si>
    <t>ASTI antracite RAL 7021 mat - longueur maximale recommandée du profil 2500 mm</t>
  </si>
  <si>
    <t>BRW champagne - longueur maximale recommandée du profil 2500 mm</t>
  </si>
  <si>
    <t>BRW champagne light - longueur maximale recommandée du profil 2500 mm</t>
  </si>
  <si>
    <t>ROMA noir mat - longueur maximale recommandée du profil 2696 mm</t>
  </si>
  <si>
    <t>ROMA champagne mat - longueur maximale recommandée du profil 2696 mm</t>
  </si>
  <si>
    <t>ROMA GRIP noir mat - longueur maximale recommandée du profil 2696 mm</t>
  </si>
  <si>
    <t>ROMA GRIP champagne mat - longueur maximale recommandée du profil 2696 mm</t>
  </si>
  <si>
    <t>Siena elox (à gauche et à droite) + Varna elox (en haut et en bas)</t>
  </si>
  <si>
    <t>Siena noir (à gauche et à droite) + Varna noir (en haut et en bas)</t>
  </si>
  <si>
    <t>Palio elox (à gauche et à droite) + Varna elox (en haut et en bas)</t>
  </si>
  <si>
    <t>Rocca elox (à gauche et à droite) + Varna elox (en haut et en bas)</t>
  </si>
  <si>
    <t>Rocca noir (à gauche et à droite) + Varna noir (en haut et en bas)</t>
  </si>
  <si>
    <t>Palio noir (à gauche et à droite) + Varna noir (en haut et en bas)</t>
  </si>
  <si>
    <t>Brillant</t>
  </si>
  <si>
    <t>Sans modification</t>
  </si>
  <si>
    <t>Trempé</t>
  </si>
  <si>
    <t>Film</t>
  </si>
  <si>
    <t>Clair trempé (livraison sous 3 semaines)</t>
  </si>
  <si>
    <t>Stopsol bronze - dimension maximale 2250 x 1605 mm</t>
  </si>
  <si>
    <t>Miroir graphite - dimension maximale 2550 x 1605 mm</t>
  </si>
  <si>
    <t>Krizet - dimension maximale 2130 x 1650 mm</t>
  </si>
  <si>
    <t>Lacobel RAL 9003 - dimension maximale 2550 x 1605 mm</t>
  </si>
  <si>
    <t>Clair</t>
  </si>
  <si>
    <t>Satinato marron / Decormat Braz</t>
  </si>
  <si>
    <t>Satinato graphite / Decormat graphite</t>
  </si>
  <si>
    <t>Masterscreen - dimension maximale 2160 x 1650 mm</t>
  </si>
  <si>
    <t>Miroir</t>
  </si>
  <si>
    <t>Miroir marron</t>
  </si>
  <si>
    <t>VISIOSUN horizontal</t>
  </si>
  <si>
    <t>Master Ligne horizontal</t>
  </si>
  <si>
    <t>FLUTES horizontal</t>
  </si>
  <si>
    <t>Master Ligne vertical</t>
  </si>
  <si>
    <t>VISIOSUN satinette vertical</t>
  </si>
  <si>
    <t>VISIOSUN satinette horizontal</t>
  </si>
  <si>
    <t>Moru marron vertical</t>
  </si>
  <si>
    <t>Moru marron horizontal</t>
  </si>
  <si>
    <t>Matelac miroir bronze</t>
  </si>
  <si>
    <t>Matelac miroir graphite</t>
  </si>
  <si>
    <t>Matelac miroir argenté</t>
  </si>
  <si>
    <t>Grille alu doré</t>
  </si>
  <si>
    <t>Grille acier noir mat RAL 9005</t>
  </si>
  <si>
    <t>Grille acier blanche</t>
  </si>
  <si>
    <t>Grille eloxée</t>
  </si>
  <si>
    <t>Cadre</t>
  </si>
  <si>
    <t>Le perçage standard pour la coupe de la charnière est à 3 mm du bord.</t>
  </si>
  <si>
    <t>Les prix indiqués sont hors TVA et ne comprennent pas le prix des quincailleries demandées !</t>
  </si>
  <si>
    <t>Type de profil</t>
  </si>
  <si>
    <t>Type de traitement du verre</t>
  </si>
  <si>
    <t>Nombre d'unités</t>
  </si>
  <si>
    <t>Largeur</t>
  </si>
  <si>
    <t>Hauteur</t>
  </si>
  <si>
    <t>Remarques</t>
  </si>
  <si>
    <t>Prix total des cadres</t>
  </si>
  <si>
    <t>Prix total des quincailleries</t>
  </si>
  <si>
    <t>Prix de la commande complète</t>
  </si>
  <si>
    <t>Charnières</t>
  </si>
  <si>
    <t>Aventos autres</t>
  </si>
  <si>
    <t>STRONG avec amortissement</t>
  </si>
  <si>
    <t>Charnières avec piston à levage</t>
  </si>
  <si>
    <t>Porte supérieure</t>
  </si>
  <si>
    <t>Porte inférieure</t>
  </si>
  <si>
    <t>Clip en applique</t>
  </si>
  <si>
    <t>Clip semi-applique</t>
  </si>
  <si>
    <t>Clip rentrant</t>
  </si>
  <si>
    <t>Angle 45°</t>
  </si>
  <si>
    <t>En applique</t>
  </si>
  <si>
    <t>Semi-applique</t>
  </si>
  <si>
    <t>Rentrant</t>
  </si>
  <si>
    <t>En applique avec ressort inversé</t>
  </si>
  <si>
    <t>Retrant avec ressort inversé</t>
  </si>
  <si>
    <t>Clip à vis H2</t>
  </si>
  <si>
    <t>Clip à vis H4</t>
  </si>
  <si>
    <t>Clip à eurovis H4</t>
  </si>
  <si>
    <t>Slide on à vis H2</t>
  </si>
  <si>
    <t>Slide on à vis H4</t>
  </si>
  <si>
    <t>Slide on à eurovis H2</t>
  </si>
  <si>
    <t>Slide on à eurovis H4</t>
  </si>
  <si>
    <t>En applique pour Blumotion</t>
  </si>
  <si>
    <t>Semi-applique avec Blumotion intégré</t>
  </si>
  <si>
    <t>Rentrant avec Blumotion intégré</t>
  </si>
  <si>
    <t>Clip 45° en applique</t>
  </si>
  <si>
    <t>Clip 45° semi-applique</t>
  </si>
  <si>
    <t>En applique sans ressort</t>
  </si>
  <si>
    <t>En applique sans ressort (TIP-ON)</t>
  </si>
  <si>
    <t>Clip pour eurovis</t>
  </si>
  <si>
    <t>Clip à vis</t>
  </si>
  <si>
    <t>Hauteur augmentée de 6 mm</t>
  </si>
  <si>
    <t>Clip 45°</t>
  </si>
  <si>
    <t>Clip pour eurovis H0</t>
  </si>
  <si>
    <t>Clip à vis H0</t>
  </si>
  <si>
    <t>Choix de la position du cadre</t>
  </si>
  <si>
    <t>Fabricant des charnières</t>
  </si>
  <si>
    <t>Type de charnières</t>
  </si>
  <si>
    <t>Type d'Aventos</t>
  </si>
  <si>
    <t>Type de embasse</t>
  </si>
  <si>
    <t>Nombre de charnières par cadre</t>
  </si>
  <si>
    <t>Pistons de levage</t>
  </si>
  <si>
    <t>Ajouter la quincaillerie indiquée</t>
  </si>
  <si>
    <t>Emplacement</t>
  </si>
  <si>
    <t>En haut</t>
  </si>
  <si>
    <t>En bas</t>
  </si>
  <si>
    <t>À droite</t>
  </si>
  <si>
    <t>À gauche</t>
  </si>
  <si>
    <t>2 Pièces (des deux côtés)</t>
  </si>
  <si>
    <t>Exécution de la deuxième porte</t>
  </si>
  <si>
    <t>Cadre ALU étroit</t>
  </si>
  <si>
    <t>Cadre ALU large</t>
  </si>
  <si>
    <t>MDF d'épaisseur 16 mm</t>
  </si>
  <si>
    <t>MDF d'épaisseur 18 mm</t>
  </si>
  <si>
    <t>DTDL d'épaisseur 18 mm</t>
  </si>
  <si>
    <t>Emplacement des charnières</t>
  </si>
  <si>
    <t>Sélectionnez dans la liste</t>
  </si>
  <si>
    <t>Distance du bord</t>
  </si>
  <si>
    <t>Distance de la charnière du bord</t>
  </si>
  <si>
    <t>Complétez uniquement si le perçage ne sera pas symétrique au centre</t>
  </si>
  <si>
    <t>Formulaire de commande pour cadres ALU</t>
  </si>
  <si>
    <t>Lors du remplissage du formulaire, procédez toujours de haut en bas. Si vous effectuez une modification rétroactive, vérifiez que les éléments suivants sont corrects.</t>
  </si>
  <si>
    <t>Prix total</t>
  </si>
  <si>
    <t>Client</t>
  </si>
  <si>
    <t>Téléphone de contact</t>
  </si>
  <si>
    <t>E-mail de contact</t>
  </si>
  <si>
    <t>Adresse de l'entreprise</t>
  </si>
  <si>
    <t>Numéro de TVA</t>
  </si>
  <si>
    <t>Remise sur les cadres</t>
  </si>
  <si>
    <t>Remise sur les quincailleries</t>
  </si>
  <si>
    <t>Numéro de commande</t>
  </si>
  <si>
    <t>Les aperçus de couleurs pour chaque nom RAL et REF sont uniquement indicatifs !!!!</t>
  </si>
  <si>
    <t>Type de quincaillerie</t>
  </si>
  <si>
    <t>STRONG sans amortissement</t>
  </si>
  <si>
    <t>Cadres coulissants</t>
  </si>
  <si>
    <t>La commande est généralement livrée avec la quincaillerie et les profils de guidage inclus</t>
  </si>
  <si>
    <t>Dimensions intérieures de l'armoire (mm)</t>
  </si>
  <si>
    <t>Nombre de portes</t>
  </si>
  <si>
    <t>Ici sont indiqués les dépassements standard des portes</t>
  </si>
  <si>
    <t>Couleur</t>
  </si>
  <si>
    <t>Commande ALU</t>
  </si>
  <si>
    <t>Couleurs LACOBEL A MATELAC</t>
  </si>
  <si>
    <t>Type de bras</t>
  </si>
  <si>
    <t>Poids de la poignée (g)</t>
  </si>
  <si>
    <t>Types de profils</t>
  </si>
  <si>
    <t>Inférieur</t>
  </si>
  <si>
    <t>Distance minimale de placement des charnières</t>
  </si>
  <si>
    <t>En applique avec Blumotion intégré</t>
  </si>
  <si>
    <t>Le perçage standard pour les charnières de tous les types de quincaillerie Aventos HF est à 100 mm du bord.</t>
  </si>
  <si>
    <t>Le diamètre standard des trous pour les poignées est de 7 mm dans le verre et de 5 mm dans le cadre (les rondelles de distance sont incluses).</t>
  </si>
  <si>
    <t>Si votre demande diffère de ce qui est indiqué ci-dessus, veuillez l'indiquer dans les notes.</t>
  </si>
  <si>
    <t>Pour certains types de poignées, les filets pour vis sont enfoncés, il est donc nécessaire d'utiliser des rondelles de distance appropriées.</t>
  </si>
  <si>
    <t>Les réclamations liées aux dommages ne peuvent pas être faites si le cadre a déjà été monté.</t>
  </si>
  <si>
    <t>Pour fixer les quincailleries dans le cadre ALU, il est nécessaire d'utiliser des vis spéciales à cet effet (par exemple, code 13681).</t>
  </si>
  <si>
    <t>Utilisez toujours la version la plus récente du formulaire, qui est disponible sur notre site.</t>
  </si>
  <si>
    <t>L'écart entre les séparateurs doit être d'au moins 100 mm.</t>
  </si>
  <si>
    <t>Une commande peut contenir plusieurs types (tailles) de cadres à la fois, et une telle commande est considérée comme valide. Il est donc recommandé de vérifier le formulaire avant l'envoi pour s'assurer qu'il ne contient que les cadres que vous avez demandés.</t>
  </si>
  <si>
    <t>Le formulaire contient plusieurs feuilles, entre lesquelles vous pouvez basculer en bas.</t>
  </si>
  <si>
    <t>Veuillez remplir vos coordonnées, puis cliquez sur la case requise ci-dessous.</t>
  </si>
  <si>
    <t>En remplissant vos coordonnées, vous exprimez également votre consentement pour avoir pris connaissance des informations ci-dessous !</t>
  </si>
  <si>
    <t>Cadres standard</t>
  </si>
  <si>
    <t>Dessins des profils et quincaillerie</t>
  </si>
  <si>
    <t>La taille maximale recommandée du cadre est de 2500 x 1250 mm (pour les cadres avec verre collé, par exemple, Corleone 1500 x 600 mm)</t>
  </si>
  <si>
    <t>Sur demande du client, il est possible de fournir des cadres avec une longueur de profil maximale de 3 m. La taille maximale du verre dans ce cas est de 2500 x 1300 mm.</t>
  </si>
  <si>
    <t>Tous les verres Lacobel et Matelac peuvent être recouverts de film de sécurité (veuillez l'indiquer dans les remarques si nécessaire)</t>
  </si>
  <si>
    <t>Envoyez la commande remplie à l'adresse</t>
  </si>
  <si>
    <t>Dessins des profils</t>
  </si>
  <si>
    <t>Kit de quincaillerie pour cadre étroit H27AL (88630)</t>
  </si>
  <si>
    <t>Kit de quincaillerie pour cadre large H37AL (88631)</t>
  </si>
  <si>
    <t>La hauteur du cadre est normalement de 6 mm inférieure à la hauteur intérieure de l'armoire indiquée.</t>
  </si>
  <si>
    <t>Les cadres sont préparés pour les systèmes coulissants H27AL (charge maximale 25 kg par cadre) et H37AL (charge maximale 35 kg par cadre).</t>
  </si>
  <si>
    <t>Guide supérieur longueur 2 m (87313)</t>
  </si>
  <si>
    <t>Guide inférieur longueur 2 m (87315)</t>
  </si>
  <si>
    <t>Guide supérieur longueur 3 m (87312)</t>
  </si>
  <si>
    <t>Guide inférieur longueur 3 m (87314)</t>
  </si>
  <si>
    <t>Autre demande (pièces)</t>
  </si>
  <si>
    <t>Quantité (pièces)</t>
  </si>
  <si>
    <t>Pour les cadres surdimensionnés (au-delà de la taille 1200 x 800 mm), des frais supplémentaires pour l'emballage spécial et le transport peuvent être facturés (plus d'informations auprès des employés du service client).</t>
  </si>
  <si>
    <t>Les dimensions appropriées du cadre pour chaque type de quincaillerie doivent être vérifiées avant la saisie de la commande (Aventplan, catalogue, ...), le formulaire n’a pas de limites définies.</t>
  </si>
  <si>
    <t>L'échantillon de verre peut être commandé sous les codes Lacebel VZK003P et Matelac VZK004P.</t>
  </si>
  <si>
    <t>Le prix des cadres coulissants est le même que celui des cadres standard.</t>
  </si>
  <si>
    <t>Si la poignée est fixée à travers le verre, il est toujours nécessaire d'utiliser une rondelle de distance (par exemple 144516, 191970, C0315).</t>
  </si>
  <si>
    <t>Les dessins des portes sont montrés vues de face.</t>
  </si>
  <si>
    <t>Le cadre surdimensionné peut entraîner des frais de transport plus élevés.</t>
  </si>
  <si>
    <t>Emplacement du bras</t>
  </si>
  <si>
    <t>La taille maximale du cadre est de 2500x1300 mm</t>
  </si>
  <si>
    <t>La distance minimale de la charnière du bord du cadre est de 70 mm</t>
  </si>
  <si>
    <t>La distance minimale de la charnière du bord du cadre est de 80 mm</t>
  </si>
  <si>
    <t>Clip entrant</t>
  </si>
  <si>
    <t>StrongHinges Clip à eurovis H0</t>
  </si>
  <si>
    <t>StrongHinges Clip à vis H0</t>
  </si>
  <si>
    <t>StrongHinges Clip à eurovis H2</t>
  </si>
  <si>
    <t>StongHinges Clip à vis H2</t>
  </si>
  <si>
    <t>Clip à eurovis H0</t>
  </si>
  <si>
    <t>Clip à eurovis H2</t>
  </si>
  <si>
    <t>Sensys en applique avec amortissement</t>
  </si>
  <si>
    <t>Sensys semi-applique avec amortissement</t>
  </si>
  <si>
    <t>Sensys rentrant avec amortissement</t>
  </si>
  <si>
    <t>Sensys montage à vis avec amortissement</t>
  </si>
  <si>
    <t>Sensys en applique sans amortissement</t>
  </si>
  <si>
    <t>Intermat en applique</t>
  </si>
  <si>
    <t>Intermat en applique 125°</t>
  </si>
  <si>
    <t>Intermat rentrant</t>
  </si>
  <si>
    <t>Intermat montage à vis</t>
  </si>
  <si>
    <t>Sensys rentrant sans amortissement</t>
  </si>
  <si>
    <t>Rondelle à vis</t>
  </si>
  <si>
    <t>Rondelle à eurovis</t>
  </si>
  <si>
    <t>Rondelle pour chevilles d'expansion</t>
  </si>
  <si>
    <t>Clip en applique avec amortissement 110°</t>
  </si>
  <si>
    <t>Clip semi-applique avec amortissement 110°</t>
  </si>
  <si>
    <t>Clip rentrant avec amortissement 110°</t>
  </si>
  <si>
    <t>Clip en applique sans amortissement 110°</t>
  </si>
  <si>
    <t>Clip semi applique sans amortissement 110°</t>
  </si>
  <si>
    <t>Clip entrant sans amortissement 110°</t>
  </si>
  <si>
    <t>Clip en applique TIP-ON 110°</t>
  </si>
  <si>
    <t>Clip semi-applique TIP-ON 110°</t>
  </si>
  <si>
    <t>Clip rentrant TIP-ON 110°</t>
  </si>
  <si>
    <t>Clip en applique avec amortissement 95°</t>
  </si>
  <si>
    <t>Clip semi- applique avec amortissement 95°</t>
  </si>
  <si>
    <t>Clip rentrant avec amortissement 95°</t>
  </si>
  <si>
    <t>Clip en applique TIP-ON 95°</t>
  </si>
  <si>
    <t>Clip en applique TIP-ON 120°</t>
  </si>
  <si>
    <t>Clip à eurovis</t>
  </si>
  <si>
    <t>Élevé de 6 mm</t>
  </si>
  <si>
    <t>Clip en applique à enficher</t>
  </si>
  <si>
    <t>Clip semi-applique à enficher</t>
  </si>
  <si>
    <t>Clip rentrant à enficher</t>
  </si>
  <si>
    <t>STRONG 30N blanc Automatique</t>
  </si>
  <si>
    <t>STRONG 60N blanc Automatique</t>
  </si>
  <si>
    <t>STRONG 80N blanc Automatique</t>
  </si>
  <si>
    <t>STRONG 100N blanc Automatique</t>
  </si>
  <si>
    <t>STRONG 120N blanc Automatique</t>
  </si>
  <si>
    <t>STRONG 60N blanc Réglable</t>
  </si>
  <si>
    <t>STRONG 80N blanc Réglable</t>
  </si>
  <si>
    <t>STRONG 100N blanc Réglable</t>
  </si>
  <si>
    <t>STRONG 120N blanc Réglable</t>
  </si>
  <si>
    <t>STRONG 30N gris Automatique</t>
  </si>
  <si>
    <t>STRONG 60N gris Automatique</t>
  </si>
  <si>
    <t>STRONG 80N gris Automatique</t>
  </si>
  <si>
    <t>STRONG 100N gris Automatique</t>
  </si>
  <si>
    <t>STRONG 120N gris Automatique</t>
  </si>
  <si>
    <t>STRONG 60N gris Réglable</t>
  </si>
  <si>
    <t>STRONG 80N gris Réglable</t>
  </si>
  <si>
    <t>STRONG 100N gris Réglable</t>
  </si>
  <si>
    <t>STRONG 120N gris Réglable</t>
  </si>
  <si>
    <t>Dimension minimale du cadre : 140x140 mm</t>
  </si>
  <si>
    <t>Sensys appliquée P2O</t>
  </si>
  <si>
    <t>naložé avec clip amorti 110°, ONYX</t>
  </si>
  <si>
    <t>polonaložé avec clip amorti 110°, ONYX</t>
  </si>
  <si>
    <t>inséré avec clip amorti 110°, ONYX</t>
  </si>
  <si>
    <t>naložé 95°, Onyx</t>
  </si>
  <si>
    <t>StrongHinges S3 charnière clip vis avec excentrique H2</t>
  </si>
  <si>
    <t>Introduction</t>
  </si>
  <si>
    <t>La taille maximale du cadre Corleone est de 1500x600mm</t>
  </si>
  <si>
    <t>Combinaison de 2 profils</t>
  </si>
  <si>
    <t>Clôtures de séparation</t>
  </si>
  <si>
    <t>Marque de ferrures</t>
  </si>
  <si>
    <t>Variante de ferrures</t>
  </si>
  <si>
    <t>Montage</t>
  </si>
  <si>
    <t>Charnières pour basculant</t>
  </si>
  <si>
    <t>Espacement</t>
  </si>
  <si>
    <t>Espacement de la poignée (mm)</t>
  </si>
  <si>
    <t>Emplacement de la poignée</t>
  </si>
  <si>
    <t>Systeme rabattables</t>
  </si>
  <si>
    <t>semi-applique</t>
  </si>
  <si>
    <t>rentrant</t>
  </si>
  <si>
    <t>Oui</t>
  </si>
  <si>
    <t>Non</t>
  </si>
  <si>
    <t>Horizontalement (délai de livraison 4 semaines)</t>
  </si>
  <si>
    <t>Verticalement (délai de livraison 4 semaines)</t>
  </si>
  <si>
    <t>Horizontalement et verticalement (délai de livraison 4 semaines)</t>
  </si>
  <si>
    <t>Cadre composé de deux profils différents</t>
  </si>
  <si>
    <t>Type de film</t>
  </si>
  <si>
    <t>Blanc</t>
  </si>
  <si>
    <t>Noir</t>
  </si>
  <si>
    <t>Autre</t>
  </si>
  <si>
    <t>Résumé</t>
  </si>
  <si>
    <t xml:space="preserve">En cas d’utilisation avec verre, la dimension maximale recommandée est 1500 x 600 mm </t>
  </si>
  <si>
    <t>(du bas)</t>
  </si>
  <si>
    <t>(de gauche)</t>
  </si>
  <si>
    <t>(du haut)</t>
  </si>
  <si>
    <t>(de droite)</t>
  </si>
  <si>
    <t>275672 - automatique 30N gris</t>
  </si>
  <si>
    <t>275673 - automatique 60N gris</t>
  </si>
  <si>
    <t>275674 - automatique 80N gris</t>
  </si>
  <si>
    <t>275675 - automatique 100N gris</t>
  </si>
  <si>
    <t>275676 - automatique 120N gris</t>
  </si>
  <si>
    <t>248162 - automatique 30N blanc</t>
  </si>
  <si>
    <t>248163 - automatique 60N blanc</t>
  </si>
  <si>
    <t>248164 - automatique 80N blanc</t>
  </si>
  <si>
    <t>248165 - automatique 100N blanc</t>
  </si>
  <si>
    <t>248166 - automatique 120N blanc</t>
  </si>
  <si>
    <t>284250 - positionnable 60N gris</t>
  </si>
  <si>
    <t>284251 - positionnable 80N gris</t>
  </si>
  <si>
    <t>284252 - positionnable 100N gris</t>
  </si>
  <si>
    <t>284253 - positionnable 120N gris</t>
  </si>
  <si>
    <t>284254 - positionnable 60N blanc</t>
  </si>
  <si>
    <t>284255 - positionnable 80N blanc</t>
  </si>
  <si>
    <t>284256 - positionnable 100N blanc</t>
  </si>
  <si>
    <t>284257 - positionnable 120N blanc</t>
  </si>
  <si>
    <t xml:space="preserve">507355 - 22L3200 - hauteur du caisson = 300 – 339 mm  </t>
  </si>
  <si>
    <t xml:space="preserve">507356 - 22L3500 - hauteur du caisson = 340 – 389 mm  </t>
  </si>
  <si>
    <t xml:space="preserve">507357 - 22L3800 - hauteur du caisson = 390 – 540 mm  </t>
  </si>
  <si>
    <t xml:space="preserve">507358 - 22L3900 - hauteur du caisson = 480 – 580 mm  </t>
  </si>
  <si>
    <t xml:space="preserve">197612 - 21L3200.01 - hauteur du caisson = 300 – 349 mm  </t>
  </si>
  <si>
    <t xml:space="preserve">197613 - 21L3500.01 - hauteur du caisson = 350 – 399 mm  </t>
  </si>
  <si>
    <t xml:space="preserve">197614 - 21L3800.01 - hauteur du caisson = 400 – 550 mm  </t>
  </si>
  <si>
    <t xml:space="preserve">197615 - 21L3900.01 - hauteur du caisson = 450 – 580 mm  </t>
  </si>
  <si>
    <t>Film plastique</t>
  </si>
  <si>
    <t>transparence 67 %</t>
  </si>
  <si>
    <t>Rabais</t>
  </si>
  <si>
    <t xml:space="preserve">92584T - En applique avec ressort et amortisseur   - argenté  </t>
  </si>
  <si>
    <t>%</t>
  </si>
  <si>
    <t xml:space="preserve">118033 - En applique avec ressort et amortisseur   - argenté  </t>
  </si>
  <si>
    <t xml:space="preserve">12106 - En applique avec ressort sans amortisseur   - argenté  </t>
  </si>
  <si>
    <t>306329 - En applique avec ressort sans amortisseur   - onyx</t>
  </si>
  <si>
    <t xml:space="preserve">12109 - En applique tip-on sans ressort / amortisseur   - argenté  </t>
  </si>
  <si>
    <t>497120 - En applique tip-on sans ressort / amortisseur   - onyx</t>
  </si>
  <si>
    <t xml:space="preserve">118120 - semi-applique avec ressort et amortisseur   - argenté  </t>
  </si>
  <si>
    <t xml:space="preserve">12107 - semi-applique avec ressort sans amortisseur   - argenté  </t>
  </si>
  <si>
    <t xml:space="preserve">118121 - rentrant avec ressort et amortisseur   - argenté  </t>
  </si>
  <si>
    <t xml:space="preserve">12108 - rentrant avec ressort sans amortisseur   - argenté  </t>
  </si>
  <si>
    <t xml:space="preserve">300279 - En applique avec ressort et amortisseur   - argenté  </t>
  </si>
  <si>
    <t xml:space="preserve">344697 - En applique avec ressort et amortisseur   - noir  </t>
  </si>
  <si>
    <t xml:space="preserve">300282 - En applique avec ressort sans amortisseur   - argenté  </t>
  </si>
  <si>
    <t xml:space="preserve">300285 - En applique tip-on sans ressort / amortisseur   - argenté  </t>
  </si>
  <si>
    <t xml:space="preserve">300280 - semi-applique avec ressort et amortisseur   - argenté  </t>
  </si>
  <si>
    <t xml:space="preserve">300283 - semi-applique avec ressort sans amortisseur   - argenté  </t>
  </si>
  <si>
    <t xml:space="preserve">300286 - semi-applique tip-on sans ressort / amortisseur   - argenté  </t>
  </si>
  <si>
    <t xml:space="preserve">300281 - rentrant avec ressort et amortisseur   - argenté  </t>
  </si>
  <si>
    <t xml:space="preserve">300284 - rentrant avec ressort sans amortisseur   - argenté  </t>
  </si>
  <si>
    <t xml:space="preserve">300287 - rentrant tip-on sans ressort / amortisseur   - argenté  </t>
  </si>
  <si>
    <t xml:space="preserve">350863 - En applique avec ressort et amortisseur   - argenté  </t>
  </si>
  <si>
    <t xml:space="preserve">350864 - En applique tip-on sans ressort / amortisseur   - argenté  </t>
  </si>
  <si>
    <t xml:space="preserve">12047 - En applique avec ressort et amortisseur   - argenté  </t>
  </si>
  <si>
    <t xml:space="preserve">306317 - En applique avec ressort et amortisseur   - noir  </t>
  </si>
  <si>
    <t xml:space="preserve">12052 - En applique avec ressort sans amortisseur   - argenté  </t>
  </si>
  <si>
    <t xml:space="preserve">226668 - En applique tip-on sans ressort / amortisseur   - argenté  </t>
  </si>
  <si>
    <t>318173 - En applique tip-on sans ressort / amortisseur   - onyx</t>
  </si>
  <si>
    <t xml:space="preserve">12048 - semi-applique avec ressort et amortisseur   - argenté  </t>
  </si>
  <si>
    <t xml:space="preserve">306318 - semi-applique avec ressort et amortisseur   - noir  </t>
  </si>
  <si>
    <t xml:space="preserve">12053 - semi-applique avec ressort sans amortisseur   - argenté  </t>
  </si>
  <si>
    <t xml:space="preserve">226670 - semi-applique tip-on sans ressort / amortisseur   - argenté  </t>
  </si>
  <si>
    <t xml:space="preserve">12049 - rentrant avec ressort et amortisseur   - argenté  </t>
  </si>
  <si>
    <t xml:space="preserve">306319 - rentrant avec ressort et amortisseur   - noir  </t>
  </si>
  <si>
    <t xml:space="preserve">12059 - rentrant avec ressort sans amortisseur   - argenté  </t>
  </si>
  <si>
    <t xml:space="preserve">226671 - rentrant tip-on sans ressort / amortisseur   - argenté  </t>
  </si>
  <si>
    <t xml:space="preserve">104717 - En applique avec ressort et amortisseur   - argenté  </t>
  </si>
  <si>
    <t xml:space="preserve">344691 - En applique avec ressort et amortisseur   - noir  </t>
  </si>
  <si>
    <t xml:space="preserve">232346 - En applique avec ressort sans amortisseur   - argenté  </t>
  </si>
  <si>
    <t xml:space="preserve">245723 - En applique tip-on sans ressort / amortisseur   - argenté  </t>
  </si>
  <si>
    <t xml:space="preserve">344694 - En applique tip-on sans ressort / amortisseur   - noir  </t>
  </si>
  <si>
    <t xml:space="preserve">104718 - semi-applique avec ressort et amortisseur   - argenté  </t>
  </si>
  <si>
    <t xml:space="preserve">344692 - semi-applique avec ressort et amortisseur   - noir  </t>
  </si>
  <si>
    <t xml:space="preserve">232347 - semi-applique avec ressort sans amortisseur   - argenté  </t>
  </si>
  <si>
    <t xml:space="preserve">245724 - semi-applique tip-on sans ressort / amortisseur   - argenté  </t>
  </si>
  <si>
    <t xml:space="preserve">344695 - semi-applique tip-on sans ressort / amortisseur   - noir  </t>
  </si>
  <si>
    <t xml:space="preserve">104719 - rentrant avec ressort et amortisseur   - argenté  </t>
  </si>
  <si>
    <t xml:space="preserve">344693 - rentrant avec ressort et amortisseur   - noir  </t>
  </si>
  <si>
    <t xml:space="preserve">232348 - rentrant avec ressort sans amortisseur   - argenté  </t>
  </si>
  <si>
    <t xml:space="preserve">245725 - rentrant tip-on sans ressort / amortisseur   - argenté  </t>
  </si>
  <si>
    <t xml:space="preserve">344696 - rentrant tip-on sans ressort / amortisseur   - noir  </t>
  </si>
  <si>
    <t xml:space="preserve">92580T - En applique avec ressort et amortisseur   - argenté  </t>
  </si>
  <si>
    <t xml:space="preserve">198818 - En applique avec ressort sans amortisseur   - argenté  </t>
  </si>
  <si>
    <t xml:space="preserve">92581T - semi-applique avec ressort et amortisseur   - argenté  </t>
  </si>
  <si>
    <t xml:space="preserve">198819 - semi-applique avec ressort sans amortisseur   - argenté  </t>
  </si>
  <si>
    <t xml:space="preserve">92582T - rentrant avec ressort et amortisseur   - argenté  </t>
  </si>
  <si>
    <t xml:space="preserve">198820 - rentrant avec ressort sans amortisseur   - argenté  </t>
  </si>
  <si>
    <t xml:space="preserve">350827 - En applique avec ressort et amortisseur   - argenté  </t>
  </si>
  <si>
    <t xml:space="preserve">350834 - En applique avec ressort sans amortisseur   - argenté  </t>
  </si>
  <si>
    <t xml:space="preserve">350837 - En applique tip-on sans ressort / amortisseur   - argenté  </t>
  </si>
  <si>
    <t xml:space="preserve">350828 - semi-applique avec ressort et amortisseur   - argenté  </t>
  </si>
  <si>
    <t xml:space="preserve">350835 - semi-applique avec ressort sans amortisseur   - argenté  </t>
  </si>
  <si>
    <t xml:space="preserve">350838 - semi-applique tip-on sans ressort / amortisseur   - argenté  </t>
  </si>
  <si>
    <t xml:space="preserve">350829 - rentrant avec ressort et amortisseur   - argenté  </t>
  </si>
  <si>
    <t xml:space="preserve">350836 - rentrant avec ressort sans amortisseur   - argenté  </t>
  </si>
  <si>
    <t xml:space="preserve">350839 - rentrant tip-on sans ressort / amortisseur   - argenté  </t>
  </si>
  <si>
    <t>avec amortisseur</t>
  </si>
  <si>
    <t>charnière de corps</t>
  </si>
  <si>
    <t>inférieure</t>
  </si>
  <si>
    <t>Étroit</t>
  </si>
  <si>
    <t>Large</t>
  </si>
  <si>
    <t>_Úzký_StrongLift_haut</t>
  </si>
  <si>
    <t>_Široký_StrongLift_haut</t>
  </si>
  <si>
    <t>_Široký_inférieure_K12</t>
  </si>
  <si>
    <t>_Úzký_inférieure_K12</t>
  </si>
  <si>
    <t>_Úzký_inférieure_kraby</t>
  </si>
  <si>
    <t>_Široký_inférieure_kraby</t>
  </si>
  <si>
    <t>_Úzký_StrongLift_bas</t>
  </si>
  <si>
    <t>_Široký_StrongLift_bas</t>
  </si>
  <si>
    <t>inférieure_K12</t>
  </si>
  <si>
    <t>inférieure_kraby</t>
  </si>
  <si>
    <t>hettich inférieure 300282</t>
  </si>
  <si>
    <t>hettich amortisseur 300279</t>
  </si>
  <si>
    <t>hettich amortisseur 104717</t>
  </si>
  <si>
    <t>blum inférieure 12106</t>
  </si>
  <si>
    <t>hettich inférieure 232346</t>
  </si>
  <si>
    <t>strong inférieure 350863</t>
  </si>
  <si>
    <t>blum inférieure 12052</t>
  </si>
  <si>
    <t>blum amortisseur 12047</t>
  </si>
  <si>
    <t>strong inférieure 350834</t>
  </si>
  <si>
    <t>strong amortisseur 350863</t>
  </si>
  <si>
    <t>strong amortisseur 92584T</t>
  </si>
  <si>
    <t>strong amortisseur 350827</t>
  </si>
  <si>
    <t>StrongLift_haut</t>
  </si>
  <si>
    <t>StrongLift_bas</t>
  </si>
  <si>
    <t>bottom_K12</t>
  </si>
  <si>
    <t>_Úzký_StrongLift_upper</t>
  </si>
  <si>
    <t>_Široký_StrongLift_upper</t>
  </si>
  <si>
    <t>_Úzký_StrongLift_bottom</t>
  </si>
  <si>
    <t>_Široký_StrongLift_bottom</t>
  </si>
  <si>
    <t>_Úzký_bottom_kraby</t>
  </si>
  <si>
    <t>_Široký_bottom_kraby</t>
  </si>
  <si>
    <t>_Úzký_bottom_K12</t>
  </si>
  <si>
    <t>_Široký_bottom_K12</t>
  </si>
  <si>
    <t>StrongLift gorny</t>
  </si>
  <si>
    <t>StrongLift dolny</t>
  </si>
  <si>
    <t>supérieure</t>
  </si>
  <si>
    <t>dolny Kraby</t>
  </si>
  <si>
    <t>dolny K12</t>
  </si>
  <si>
    <t>dolný_K12</t>
  </si>
  <si>
    <t>dolný_kraby</t>
  </si>
  <si>
    <t>_Úzký_StrongLift_horný</t>
  </si>
  <si>
    <t>_Široký_StrongLift_horný</t>
  </si>
  <si>
    <t>_Úzký_StrongLift_spodný</t>
  </si>
  <si>
    <t>_Široký_StrongLift_spodný</t>
  </si>
  <si>
    <t>_Úzký_dolný_kraby</t>
  </si>
  <si>
    <t>_Široký_dolný_kraby</t>
  </si>
  <si>
    <t>_Úzký_dolný_K12</t>
  </si>
  <si>
    <t>_Široký_dolný_K12</t>
  </si>
  <si>
    <t>hettich spodný 300282</t>
  </si>
  <si>
    <t>blum spodný 12106</t>
  </si>
  <si>
    <t>hettich spodný 232346</t>
  </si>
  <si>
    <t>strong spodný 350863</t>
  </si>
  <si>
    <t>blum spodný 12052</t>
  </si>
  <si>
    <t>strong spodný 350834</t>
  </si>
  <si>
    <t>dolny_Kraby</t>
  </si>
  <si>
    <t>dolny_K12</t>
  </si>
  <si>
    <t>alsó_Kraby</t>
  </si>
  <si>
    <t>FR</t>
  </si>
  <si>
    <t>La couleur du profilé et du maillage peut varier en raison des tolérances du processus de production.</t>
  </si>
  <si>
    <t>Asti</t>
  </si>
  <si>
    <t>Roma</t>
  </si>
  <si>
    <t>Type de verre / de toile</t>
  </si>
  <si>
    <t>Clipà eurovis H2</t>
  </si>
  <si>
    <t>Intermatsemi-applique</t>
  </si>
  <si>
    <t>STRONG inférieur blanc</t>
  </si>
  <si>
    <t>STRONG supérieur gris</t>
  </si>
  <si>
    <t>KRABY 164 inférieur</t>
  </si>
  <si>
    <t>KRABY 244 inférieur</t>
  </si>
  <si>
    <t>KRABY 355 inférieur</t>
  </si>
  <si>
    <t>STRONG inférieur gris</t>
  </si>
  <si>
    <t>pour montage sur vis H0</t>
  </si>
  <si>
    <t>pour montage Eurovis H0</t>
  </si>
  <si>
    <t>pour montage sur vis H2</t>
  </si>
  <si>
    <t>pour montage Eurovis H2</t>
  </si>
  <si>
    <t>Clip pour vis H2</t>
  </si>
  <si>
    <t>Clip vis avec excentrique H0</t>
  </si>
  <si>
    <t>Clip pour vis H0</t>
  </si>
  <si>
    <t>Sensys SiSy appliquée</t>
  </si>
  <si>
    <t>Sensys SiSy semi-appliquée</t>
  </si>
  <si>
    <t>Sensys SiSy encastrée</t>
  </si>
  <si>
    <t>Sensys P2O appliquée</t>
  </si>
  <si>
    <t>Sensys P2O semi-appliquée</t>
  </si>
  <si>
    <t>Sensys P2O encastrée</t>
  </si>
  <si>
    <t>StrongHinges S3 charnière appliquée clip sans ressort</t>
  </si>
  <si>
    <t>StrongHinges charnière insérée clip sans ressort</t>
  </si>
  <si>
    <t>StrongHinges S3 charnière 30° clip sans ressort</t>
  </si>
  <si>
    <t>StrongHinges S3 charnière appliquée clip</t>
  </si>
  <si>
    <t>StrongHinges S3 charnière semi-appliquée clip</t>
  </si>
  <si>
    <t>StrongHinges S3 charnière insérée clip</t>
  </si>
  <si>
    <t>StrongHinges S3 charnière 30° clip</t>
  </si>
  <si>
    <t>StrongHinges S3 charnière clip vis avec excentrique H0</t>
  </si>
  <si>
    <t>La vue des cloisons est uniquement illustrative et n’affiche pas le nombre choisi de cloisons horizontales / verticales.</t>
  </si>
  <si>
    <t>Avertissement</t>
  </si>
  <si>
    <t>Retour</t>
  </si>
  <si>
    <t>La distance standard des charnières par rapport au bord est réglée à 100 mm (minimum 80 mm). Si vous souhaitez modifier l'entraxe entre les charnières, veuillez l'indiquer dans la remarque (en mm).</t>
  </si>
  <si>
    <t>Veuillez préciser dans les cellules vertes la distance de perçage du support par rapport au bord du cadre.Si vous souhaitez un perçage centré sur le cadre et le profilé, veuillez inscrire "x" dans les cellules vertes.</t>
  </si>
  <si>
    <t>Avec des charnières, la dimension maximale est</t>
  </si>
  <si>
    <t>Varna noir – longueur maximale recommandée par le fabricant : 1200 mm</t>
  </si>
  <si>
    <t>Rocca noir – longueur maximale : 2150 mm
Varna noir – longueur maximale : 1200 mm</t>
  </si>
  <si>
    <t>Commande de verre</t>
  </si>
  <si>
    <t>avec ressort et amortisseur</t>
  </si>
  <si>
    <t>avec ressort sans amortisseur</t>
  </si>
  <si>
    <t>tip-on sans ressort / amortisseur</t>
  </si>
  <si>
    <t>argenté</t>
  </si>
  <si>
    <t>noir</t>
  </si>
  <si>
    <t>275689 - inférieur 80N gris</t>
  </si>
  <si>
    <t>248167 - inférieur 80N blanc</t>
  </si>
  <si>
    <t>507355 - 22L3200 - hauteur du caisson = 300 – 339 mm</t>
  </si>
  <si>
    <t>507356 - 22L3500 - hauteur du caisson = 340 – 389 mm</t>
  </si>
  <si>
    <t>507357 - 22L3800 - hauteur du caisson = 390 – 540 mm</t>
  </si>
  <si>
    <t>507358 - 22L3900 - hauteur du caisson = 480 – 580 mm</t>
  </si>
  <si>
    <t>Servo :</t>
  </si>
  <si>
    <t>197612 - 21L3200.01 - hauteur du caisson = 300 – 349 mm</t>
  </si>
  <si>
    <t>197613 - 21L3500.01 - hauteur du caisson = 350 – 399 mm</t>
  </si>
  <si>
    <t>197614 - 21L3800.01 - hauteur du caisson = 400 – 550 mm</t>
  </si>
  <si>
    <t>197615 - 21L3900.01 - hauteur du caisson = 450 – 580 mm</t>
  </si>
  <si>
    <t>Veuillez préciser dans les cellules vertes la distance de perçage de la poignée par rapport au bord extérieur du cadre.</t>
  </si>
  <si>
    <t>Combinaison invalide</t>
  </si>
  <si>
    <t>croix vis</t>
  </si>
  <si>
    <t>croix vis (excentrique)</t>
  </si>
  <si>
    <t>croix euro</t>
  </si>
  <si>
    <t>croix cheville</t>
  </si>
  <si>
    <t>droite vis</t>
  </si>
  <si>
    <t>droite euro</t>
  </si>
  <si>
    <t>droite cheville</t>
  </si>
  <si>
    <t>longueur max. 2150 mm</t>
  </si>
  <si>
    <t>Distance par rapport au bord inférieur</t>
  </si>
  <si>
    <t>Distance par rapport au bord supérieur</t>
  </si>
  <si>
    <t>Sans modifications</t>
  </si>
  <si>
    <t>Trempé (délai de livraison 4 semaines)</t>
  </si>
  <si>
    <t>Les cadres sans verre sont livrés en kit (à monter).</t>
  </si>
  <si>
    <t>La dimension maximale recommandée est de 1500x600 mm. En cas de commande avec des dimensions supérieures, le verre peut sortir du profilé. Le fabricant ne prend pas en charge les réclamations dans ce cas.</t>
  </si>
  <si>
    <t>520405 SALICE AIR SOFT charnière nickel angle d'ouverture 92° set de 2 pcs</t>
  </si>
  <si>
    <t>520406 SALICE AIR PUSH TO OPEN charnière nickel avec adaptateur set de 2 pcs</t>
  </si>
  <si>
    <t>520407 SALICE AIR PUSH TO OPEN charnière nickel avec adaptateur set de 2 pcs</t>
  </si>
  <si>
    <t>520408 SALICE AIR SOFT charnière nickel avec adaptateur set de 2 pcs</t>
  </si>
  <si>
    <t>520410 SALICE AIR SOFT TITANIUM charnière angle d'ouverture 92° set de 2 pcs</t>
  </si>
  <si>
    <t>520411 SALICE AIR TITANIUM PUSH TO OPEN charnière set de 2 pcs</t>
  </si>
  <si>
    <t>520412 SALICE AIR TITANIUM PUSH TO OPEN charnière avec adaptateur set de 2 pcs</t>
  </si>
  <si>
    <t>520413 SALICE AIR SOFT TITANIUM charnière avec adaptateur set de 2 pcs</t>
  </si>
  <si>
    <t>dimensions maximales 1000x500 mm</t>
  </si>
  <si>
    <t>Type de toile</t>
  </si>
  <si>
    <t>La variante semi-appliquée et insérée n’existe pas</t>
  </si>
  <si>
    <t>Polissage des bords</t>
  </si>
  <si>
    <t>Dimensions du verre dépassées</t>
  </si>
  <si>
    <t>transparence 50 %</t>
  </si>
  <si>
    <t>Conditions et recommandations pour une commande correcte des cadres en aluminium</t>
  </si>
  <si>
    <t>Recommandations générales :</t>
  </si>
  <si>
    <t>Lors du remplissage du formulaire, procédez toujours de haut en bas.</t>
  </si>
  <si>
    <t>Si vous effectuez une modification rétrospective, il est nécessaire de ressaisir les éléments en dessous de ce changement.</t>
  </si>
  <si>
    <t>Avant d’envoyer la commande, vérifiez que le formulaire ne contient que les cadres souhaités.</t>
  </si>
  <si>
    <t>Le délai de livraison standard est de trois semaines maximum. Pour toute précision concernant le délai, veuillez contacter le Service Client.</t>
  </si>
  <si>
    <t>Informations pratiques :</t>
  </si>
  <si>
    <t>Pour des cadres de plus de 2500 mm, nous recommandons d’utiliser des traverses afin d’éviter la déformation du profilé ou le délogement du verre.</t>
  </si>
  <si>
    <t>Pour les cadres de grande taille (supérieurs à 1200 x 800 mm), un supplément pour emballage et transport spécial peut être appliqué (plus d’informations auprès du Service Client).</t>
  </si>
  <si>
    <t>La toile dans le cadre est orientée horizontalement par défaut. Si vous souhaitez une orientation verticale des ouvertures de la toile, merci de le préciser dans la remarque.</t>
  </si>
  <si>
    <t>Je confirme avoir compris et accepté les conditions et recommandations ci-dessus.</t>
  </si>
  <si>
    <t>La dimension choisie du cadre ne correspond pas aux dimensions maximales du verre ou du profilé</t>
  </si>
  <si>
    <t>Prix</t>
  </si>
  <si>
    <t>Prix de la quincaillerie et des profilés</t>
  </si>
  <si>
    <t>Již neměnit po tom co vyberete typ skla/síťky</t>
  </si>
  <si>
    <t>Už nemeniť po tom čo vyberiete typ skla/sieťky</t>
  </si>
  <si>
    <t>Nie zmieniaj po wybraniu rodzaj szkła/siatka</t>
  </si>
  <si>
    <t>A kiválasztás után ne változtasson üveg/hálós típus</t>
  </si>
  <si>
    <t>Do not change after you make a choice type of glass/mesh</t>
  </si>
  <si>
    <t>Ne pas modifier après votre sélection type de verre / de toile</t>
  </si>
  <si>
    <t>Hálós keretkitöltő</t>
  </si>
  <si>
    <t>Mesh frame filler</t>
  </si>
  <si>
    <t>Remplissage du cadre toile</t>
  </si>
  <si>
    <t>_kombo_Blum_Polonaložený</t>
  </si>
  <si>
    <t>StrongHingesS53</t>
  </si>
  <si>
    <t>StrongHingesS33</t>
  </si>
  <si>
    <t>blum avec amortisseur 118033</t>
  </si>
  <si>
    <t>blum avec amortisseur 12047</t>
  </si>
  <si>
    <t>hettich avec amortisseur 300279</t>
  </si>
  <si>
    <t>strong avec amortisseur 350863</t>
  </si>
  <si>
    <t>strong avec amortisseur 92584T</t>
  </si>
  <si>
    <t>hettich avec amortisseur 104717</t>
  </si>
  <si>
    <t>strong avec amortisseur 350827</t>
  </si>
  <si>
    <t>hettich supérieure 300279</t>
  </si>
  <si>
    <t>strong supérieure 350863</t>
  </si>
  <si>
    <t>strong supérieure 92584T</t>
  </si>
  <si>
    <t>hettich supérieure 104717</t>
  </si>
  <si>
    <t>blum supérieure 12047</t>
  </si>
  <si>
    <t>strong supérieure 350827</t>
  </si>
  <si>
    <t>hettich z z tłumieniem 104717</t>
  </si>
  <si>
    <t>hettich z z tłumieniem 300279</t>
  </si>
  <si>
    <t>blum z z tłumieniem 12047</t>
  </si>
  <si>
    <t>strong z z tłumieniem 350863</t>
  </si>
  <si>
    <t>strong z z tłumieniem 350827</t>
  </si>
  <si>
    <t>strong z z tłumieniem 92584T</t>
  </si>
  <si>
    <t>blum z tłumieniem 118033 / 71B950A</t>
  </si>
  <si>
    <t>blum z tłumieniem 12047 / 71B3550</t>
  </si>
  <si>
    <t>blum z z tłumieniem 118033</t>
  </si>
  <si>
    <t>Hettich z tłumieniem</t>
  </si>
  <si>
    <t>Hettich z tłumieniem 300279</t>
  </si>
  <si>
    <t>Strong z tłumieniem 350863</t>
  </si>
  <si>
    <t>Strong z tłumieniem 92584T</t>
  </si>
  <si>
    <t>Hettich z tłumieniem 104717</t>
  </si>
  <si>
    <t>Strong z tłumieniem 350827</t>
  </si>
  <si>
    <t>strong z tlumieniem 350863</t>
  </si>
  <si>
    <t>strong z tlumieniem 92584T</t>
  </si>
  <si>
    <t>blum z tlumieniem 12047</t>
  </si>
  <si>
    <t>strong z tlumieniem 350827</t>
  </si>
  <si>
    <t>max 3 sztuki frontów</t>
  </si>
  <si>
    <t>max 2 sztuki frontów</t>
  </si>
  <si>
    <t>max 20 sztuki frontów</t>
  </si>
  <si>
    <t>w 1 paczce może być</t>
  </si>
  <si>
    <t>Pakowane w paczke</t>
  </si>
  <si>
    <t>1001 - 1499 mm</t>
  </si>
  <si>
    <t>1500 - 2000 mm</t>
  </si>
  <si>
    <t>2001 - 2500 mm</t>
  </si>
  <si>
    <t xml:space="preserve"> 2501 - 2850 mm</t>
  </si>
  <si>
    <t>109 zł</t>
  </si>
  <si>
    <t>max 12 sztuki profilów</t>
  </si>
  <si>
    <t>max 6 sztuki profilów</t>
  </si>
  <si>
    <t>max 8 sztuki profilów</t>
  </si>
  <si>
    <t>Odbiór osobisty w Demos Katowice</t>
  </si>
  <si>
    <t>Ceny jsou platné od 27.1.2026/Verze 7.1</t>
  </si>
  <si>
    <t>Ceny sú platné od  27.1.2026/Verzia 7.1</t>
  </si>
  <si>
    <t>Ceny obowiązują od 27.1.2026/Wersja 7.1</t>
  </si>
  <si>
    <t>Az árak érvényesek  27.1.2026 -től/7.1 - es változat</t>
  </si>
  <si>
    <t>Prices are valid from  27.1.2026/Version 7.1</t>
  </si>
  <si>
    <t>Les prix sont valables à partir du  27.1.2026/Version 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</si>
</sst>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Kč&quot;_-;\-* #,##0.00\ &quot;Kč&quot;_-;_-* &quot;-&quot;??\ &quot;Kč&quot;_-;_-@_-"/>
    <numFmt numFmtId="43" formatCode="_-* #,##0.00_-;\-* #,##0.00_-;_-* &quot;-&quot;??_-;_-@_-"/>
    <numFmt numFmtId="164" formatCode="#####&quot; mm&quot;"/>
    <numFmt numFmtId="165" formatCode="[$-1010405]###\ ###\ ###\ ###\ ###\ ##0.0000"/>
    <numFmt numFmtId="166" formatCode="&quot;&lt;— &quot;#####&quot;&quot;"/>
    <numFmt numFmtId="167" formatCode="#,###,###.00000"/>
    <numFmt numFmtId="168" formatCode="##,###,###,###.00000"/>
    <numFmt numFmtId="169" formatCode="_-* #,##0.00\ [$zł-415]_-;\-* #,##0.00\ [$zł-415]_-;_-* &quot;-&quot;??\ [$zł-415]_-;_-@_-"/>
  </numFmts>
  <fonts count="97">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9"/>
      <color indexed="8"/>
      <name val="Tahoma"/>
      <family val="2"/>
      <charset val="238"/>
    </font>
    <font>
      <sz val="9"/>
      <color indexed="8"/>
      <name val="Tahoma"/>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1"/>
      <color rgb="FF000000"/>
      <name val="Calibri"/>
      <family val="2"/>
      <charset val="238"/>
      <scheme val="minor"/>
    </font>
    <font>
      <sz val="8"/>
      <color indexed="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0"/>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2"/>
      <color rgb="FF004984"/>
      <name val="Arial"/>
      <family val="2"/>
      <charset val="238"/>
    </font>
    <font>
      <b/>
      <sz val="9"/>
      <color theme="0"/>
      <name val="Arial"/>
      <family val="2"/>
      <charset val="238"/>
    </font>
    <font>
      <sz val="14"/>
      <color theme="0"/>
      <name val="Calibri"/>
      <family val="2"/>
      <charset val="238"/>
      <scheme val="minor"/>
    </font>
    <font>
      <sz val="9"/>
      <color theme="0"/>
      <name val="Arial"/>
      <family val="2"/>
      <charset val="238"/>
    </font>
    <font>
      <sz val="9"/>
      <color theme="1" tint="0.499984740745262"/>
      <name val="Arial"/>
      <family val="2"/>
      <charset val="238"/>
    </font>
    <font>
      <sz val="11"/>
      <color theme="1" tint="0.499984740745262"/>
      <name val="Calibri"/>
      <family val="2"/>
      <charset val="238"/>
      <scheme val="minor"/>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b/>
      <sz val="20"/>
      <name val="Calibri"/>
      <family val="2"/>
      <charset val="238"/>
      <scheme val="minor"/>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
      <b/>
      <sz val="16"/>
      <color theme="0"/>
      <name val="Arial"/>
      <family val="2"/>
      <charset val="238"/>
    </font>
  </fonts>
  <fills count="33">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s>
  <borders count="122">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right/>
      <top style="hair">
        <color indexed="64"/>
      </top>
      <bottom/>
      <diagonal/>
    </border>
    <border>
      <left/>
      <right/>
      <top style="hair">
        <color indexed="64"/>
      </top>
      <bottom style="medium">
        <color indexed="64"/>
      </bottom>
      <diagonal/>
    </border>
    <border>
      <left/>
      <right/>
      <top style="hair">
        <color indexed="64"/>
      </top>
      <bottom style="thin">
        <color indexed="64"/>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right/>
      <top/>
      <bottom style="thick">
        <color rgb="FF00498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right/>
      <top style="dotted">
        <color rgb="FF004984"/>
      </top>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2">
    <xf numFmtId="0" fontId="0" fillId="0" borderId="0"/>
    <xf numFmtId="0" fontId="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44" fontId="7" fillId="0" borderId="0" applyFont="0" applyFill="0" applyBorder="0" applyAlignment="0" applyProtection="0"/>
    <xf numFmtId="0" fontId="12" fillId="0" borderId="0"/>
    <xf numFmtId="0" fontId="12" fillId="0" borderId="0"/>
    <xf numFmtId="0" fontId="12"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7" fillId="0" borderId="0" applyFont="0" applyFill="0" applyBorder="0" applyAlignment="0" applyProtection="0"/>
    <xf numFmtId="0" fontId="86" fillId="0" borderId="0"/>
    <xf numFmtId="44" fontId="7" fillId="0" borderId="0" applyFont="0" applyFill="0" applyBorder="0" applyAlignment="0" applyProtection="0"/>
  </cellStyleXfs>
  <cellXfs count="888">
    <xf numFmtId="0" fontId="0" fillId="0" borderId="0" xfId="0"/>
    <xf numFmtId="0" fontId="0" fillId="0" borderId="0" xfId="0" applyProtection="1">
      <protection hidden="1"/>
    </xf>
    <xf numFmtId="0" fontId="16" fillId="0" borderId="0" xfId="0" applyFont="1"/>
    <xf numFmtId="0" fontId="16" fillId="2" borderId="1" xfId="0" applyFont="1" applyFill="1" applyBorder="1"/>
    <xf numFmtId="0" fontId="16" fillId="2" borderId="2" xfId="0" applyFont="1" applyFill="1" applyBorder="1"/>
    <xf numFmtId="0" fontId="16" fillId="3" borderId="3" xfId="0" applyFont="1" applyFill="1" applyBorder="1"/>
    <xf numFmtId="0" fontId="17" fillId="4" borderId="4" xfId="13" applyFont="1" applyFill="1" applyBorder="1"/>
    <xf numFmtId="0" fontId="17" fillId="0" borderId="6" xfId="13" applyFont="1" applyBorder="1" applyAlignment="1">
      <alignment horizontal="left"/>
    </xf>
    <xf numFmtId="0" fontId="17" fillId="0" borderId="5" xfId="9" applyFont="1" applyBorder="1" applyAlignment="1">
      <alignment horizontal="left"/>
    </xf>
    <xf numFmtId="0" fontId="17" fillId="0" borderId="6" xfId="9" applyFont="1" applyBorder="1" applyAlignment="1">
      <alignment horizontal="left"/>
    </xf>
    <xf numFmtId="0" fontId="17" fillId="0" borderId="7" xfId="9" applyFont="1" applyBorder="1" applyAlignment="1">
      <alignment horizontal="left"/>
    </xf>
    <xf numFmtId="0" fontId="0" fillId="0" borderId="0" xfId="0" applyAlignment="1">
      <alignment horizontal="left"/>
    </xf>
    <xf numFmtId="0" fontId="17" fillId="0" borderId="0" xfId="9" applyFont="1" applyAlignment="1">
      <alignment horizontal="left"/>
    </xf>
    <xf numFmtId="0" fontId="16" fillId="0" borderId="0" xfId="0" applyFont="1" applyAlignment="1">
      <alignment horizontal="center"/>
    </xf>
    <xf numFmtId="2" fontId="16" fillId="0" borderId="0" xfId="0" applyNumberFormat="1" applyFont="1" applyAlignment="1">
      <alignment horizontal="center"/>
    </xf>
    <xf numFmtId="1" fontId="16" fillId="0" borderId="0" xfId="0" applyNumberFormat="1" applyFont="1" applyAlignment="1">
      <alignment horizontal="center"/>
    </xf>
    <xf numFmtId="0" fontId="18" fillId="0" borderId="3" xfId="0" applyFont="1" applyBorder="1"/>
    <xf numFmtId="0" fontId="16" fillId="0" borderId="3" xfId="0" applyFont="1" applyBorder="1"/>
    <xf numFmtId="49" fontId="16" fillId="0" borderId="3" xfId="0" applyNumberFormat="1" applyFont="1" applyBorder="1"/>
    <xf numFmtId="0" fontId="17" fillId="0" borderId="3" xfId="0" applyFont="1" applyBorder="1" applyAlignment="1">
      <alignment horizontal="center"/>
    </xf>
    <xf numFmtId="0" fontId="19" fillId="0" borderId="3" xfId="0" applyFont="1" applyBorder="1"/>
    <xf numFmtId="165" fontId="19" fillId="0" borderId="3" xfId="0" applyNumberFormat="1" applyFont="1" applyBorder="1"/>
    <xf numFmtId="0" fontId="17" fillId="0" borderId="3" xfId="0" applyFont="1" applyBorder="1"/>
    <xf numFmtId="49" fontId="16" fillId="0" borderId="0" xfId="0" applyNumberFormat="1" applyFont="1"/>
    <xf numFmtId="0" fontId="19" fillId="0" borderId="0" xfId="0" applyFont="1"/>
    <xf numFmtId="0" fontId="12" fillId="0" borderId="0" xfId="4"/>
    <xf numFmtId="0" fontId="12" fillId="0" borderId="0" xfId="5"/>
    <xf numFmtId="49" fontId="12" fillId="0" borderId="0" xfId="5" applyNumberFormat="1"/>
    <xf numFmtId="49" fontId="12" fillId="0" borderId="0" xfId="6" applyNumberFormat="1"/>
    <xf numFmtId="0" fontId="8" fillId="0" borderId="0" xfId="0" applyFont="1" applyProtection="1">
      <protection hidden="1"/>
    </xf>
    <xf numFmtId="0" fontId="0" fillId="0" borderId="16" xfId="0" applyBorder="1" applyProtection="1">
      <protection hidden="1"/>
    </xf>
    <xf numFmtId="0" fontId="0" fillId="0" borderId="18" xfId="0" applyBorder="1" applyProtection="1">
      <protection hidden="1"/>
    </xf>
    <xf numFmtId="0" fontId="23" fillId="0" borderId="3" xfId="0" applyFont="1" applyBorder="1" applyAlignment="1">
      <alignment horizontal="right"/>
    </xf>
    <xf numFmtId="0" fontId="0" fillId="0" borderId="3" xfId="0" applyBorder="1"/>
    <xf numFmtId="0" fontId="0" fillId="0" borderId="25" xfId="0" applyBorder="1" applyProtection="1">
      <protection hidden="1"/>
    </xf>
    <xf numFmtId="0" fontId="0" fillId="0" borderId="26" xfId="0" applyBorder="1" applyProtection="1">
      <protection hidden="1"/>
    </xf>
    <xf numFmtId="0" fontId="0" fillId="0" borderId="27" xfId="0" applyBorder="1" applyProtection="1">
      <protection hidden="1"/>
    </xf>
    <xf numFmtId="0" fontId="0" fillId="0" borderId="17" xfId="0" applyBorder="1" applyProtection="1">
      <protection hidden="1"/>
    </xf>
    <xf numFmtId="0" fontId="0" fillId="0" borderId="28" xfId="0" applyBorder="1" applyProtection="1">
      <protection hidden="1"/>
    </xf>
    <xf numFmtId="0" fontId="0" fillId="0" borderId="0" xfId="0" applyProtection="1">
      <protection locked="0" hidden="1"/>
    </xf>
    <xf numFmtId="0" fontId="17" fillId="0" borderId="29" xfId="13" applyFont="1" applyBorder="1" applyAlignment="1">
      <alignment horizontal="left"/>
    </xf>
    <xf numFmtId="0" fontId="17" fillId="0" borderId="30" xfId="13" applyFont="1" applyBorder="1" applyAlignment="1">
      <alignment horizontal="left"/>
    </xf>
    <xf numFmtId="0" fontId="17" fillId="0" borderId="31" xfId="13" applyFont="1" applyBorder="1" applyAlignment="1">
      <alignment horizontal="left"/>
    </xf>
    <xf numFmtId="0" fontId="17" fillId="0" borderId="32" xfId="13" applyFont="1" applyBorder="1" applyAlignment="1">
      <alignment horizontal="left"/>
    </xf>
    <xf numFmtId="0" fontId="17" fillId="0" borderId="33" xfId="13" applyFont="1" applyBorder="1" applyAlignment="1">
      <alignment horizontal="left"/>
    </xf>
    <xf numFmtId="0" fontId="17" fillId="0" borderId="29" xfId="9" applyFont="1" applyBorder="1" applyAlignment="1">
      <alignment horizontal="left"/>
    </xf>
    <xf numFmtId="0" fontId="17" fillId="0" borderId="30" xfId="9" applyFont="1" applyBorder="1" applyAlignment="1">
      <alignment horizontal="left"/>
    </xf>
    <xf numFmtId="0" fontId="17" fillId="0" borderId="34" xfId="9" applyFont="1" applyBorder="1" applyAlignment="1">
      <alignment horizontal="left"/>
    </xf>
    <xf numFmtId="0" fontId="17" fillId="0" borderId="35" xfId="9" applyFont="1" applyBorder="1" applyAlignment="1">
      <alignment horizontal="left"/>
    </xf>
    <xf numFmtId="0" fontId="17" fillId="0" borderId="36" xfId="13" applyFont="1" applyBorder="1" applyAlignment="1">
      <alignment horizontal="left"/>
    </xf>
    <xf numFmtId="0" fontId="17" fillId="0" borderId="37" xfId="13" applyFont="1" applyBorder="1" applyAlignment="1">
      <alignment horizontal="left"/>
    </xf>
    <xf numFmtId="0" fontId="17" fillId="0" borderId="3" xfId="13" applyFont="1" applyBorder="1" applyAlignment="1">
      <alignment horizontal="left" vertical="center"/>
    </xf>
    <xf numFmtId="0" fontId="17" fillId="0" borderId="3" xfId="13" applyFont="1" applyBorder="1" applyAlignment="1">
      <alignment horizontal="left"/>
    </xf>
    <xf numFmtId="0" fontId="17" fillId="0" borderId="38" xfId="13" applyFont="1" applyBorder="1" applyAlignment="1">
      <alignment horizontal="left"/>
    </xf>
    <xf numFmtId="0" fontId="17" fillId="0" borderId="31" xfId="9" applyFont="1" applyBorder="1" applyAlignment="1">
      <alignment horizontal="left"/>
    </xf>
    <xf numFmtId="0" fontId="17" fillId="0" borderId="32" xfId="9" applyFont="1" applyBorder="1" applyAlignment="1">
      <alignment horizontal="left"/>
    </xf>
    <xf numFmtId="0" fontId="17" fillId="0" borderId="33" xfId="9" applyFont="1" applyBorder="1" applyAlignment="1">
      <alignment horizontal="left"/>
    </xf>
    <xf numFmtId="49" fontId="0" fillId="0" borderId="0" xfId="0" applyNumberFormat="1"/>
    <xf numFmtId="49" fontId="0" fillId="0" borderId="3" xfId="0" applyNumberFormat="1" applyBorder="1"/>
    <xf numFmtId="0" fontId="17" fillId="4" borderId="39" xfId="13" applyFont="1" applyFill="1" applyBorder="1" applyAlignment="1">
      <alignment vertical="center"/>
    </xf>
    <xf numFmtId="0" fontId="16" fillId="4" borderId="40" xfId="0" applyFont="1" applyFill="1" applyBorder="1" applyAlignment="1">
      <alignment horizontal="center"/>
    </xf>
    <xf numFmtId="0" fontId="16" fillId="4" borderId="41" xfId="0" applyFont="1" applyFill="1" applyBorder="1" applyAlignment="1">
      <alignment horizontal="center"/>
    </xf>
    <xf numFmtId="0" fontId="17" fillId="0" borderId="3" xfId="13" applyFont="1" applyBorder="1" applyAlignment="1">
      <alignment vertical="center"/>
    </xf>
    <xf numFmtId="2" fontId="17" fillId="0" borderId="3" xfId="0" applyNumberFormat="1" applyFont="1" applyBorder="1"/>
    <xf numFmtId="1" fontId="17" fillId="0" borderId="3" xfId="0" applyNumberFormat="1" applyFont="1" applyBorder="1"/>
    <xf numFmtId="0" fontId="17" fillId="0" borderId="3" xfId="13" applyFont="1" applyBorder="1"/>
    <xf numFmtId="0" fontId="26" fillId="0" borderId="3" xfId="0" applyFont="1" applyBorder="1"/>
    <xf numFmtId="0" fontId="0" fillId="0" borderId="3" xfId="0" applyBorder="1" applyAlignment="1">
      <alignment horizontal="left"/>
    </xf>
    <xf numFmtId="0" fontId="0" fillId="0" borderId="3" xfId="0" applyBorder="1" applyProtection="1">
      <protection hidden="1"/>
    </xf>
    <xf numFmtId="0" fontId="28" fillId="0" borderId="3" xfId="0" applyFont="1" applyBorder="1"/>
    <xf numFmtId="0" fontId="29" fillId="0" borderId="3" xfId="0" applyFont="1" applyBorder="1"/>
    <xf numFmtId="0" fontId="14" fillId="0" borderId="0" xfId="0" applyFont="1"/>
    <xf numFmtId="0" fontId="9" fillId="0" borderId="0" xfId="1" applyBorder="1" applyAlignment="1" applyProtection="1"/>
    <xf numFmtId="0" fontId="9" fillId="0" borderId="0" xfId="1" applyBorder="1" applyAlignment="1" applyProtection="1">
      <alignment horizontal="left"/>
    </xf>
    <xf numFmtId="0" fontId="0" fillId="0" borderId="0" xfId="0" applyAlignment="1" applyProtection="1">
      <alignment vertical="center"/>
      <protection hidden="1"/>
    </xf>
    <xf numFmtId="0" fontId="31" fillId="0" borderId="0" xfId="0" applyFont="1" applyProtection="1">
      <protection hidden="1"/>
    </xf>
    <xf numFmtId="0" fontId="8" fillId="0" borderId="0" xfId="0" applyFont="1"/>
    <xf numFmtId="0" fontId="14" fillId="0" borderId="0" xfId="0" applyFont="1" applyProtection="1">
      <protection hidden="1"/>
    </xf>
    <xf numFmtId="0" fontId="26" fillId="0" borderId="10" xfId="0" applyFont="1" applyBorder="1" applyProtection="1">
      <protection hidden="1"/>
    </xf>
    <xf numFmtId="0" fontId="21" fillId="0" borderId="22" xfId="0" applyFont="1" applyBorder="1"/>
    <xf numFmtId="0" fontId="23" fillId="0" borderId="0" xfId="0" applyFont="1" applyAlignment="1">
      <alignment horizontal="right"/>
    </xf>
    <xf numFmtId="0" fontId="26" fillId="0" borderId="0" xfId="0" applyFont="1" applyProtection="1">
      <protection hidden="1"/>
    </xf>
    <xf numFmtId="49" fontId="14" fillId="0" borderId="0" xfId="0" applyNumberFormat="1" applyFont="1" applyProtection="1">
      <protection hidden="1"/>
    </xf>
    <xf numFmtId="49" fontId="31" fillId="0" borderId="0" xfId="0" applyNumberFormat="1" applyFont="1" applyProtection="1">
      <protection hidden="1"/>
    </xf>
    <xf numFmtId="0" fontId="14" fillId="2" borderId="3" xfId="0" applyFont="1" applyFill="1" applyBorder="1" applyAlignment="1">
      <alignment horizontal="left"/>
    </xf>
    <xf numFmtId="0" fontId="14" fillId="2" borderId="3" xfId="0" applyFont="1" applyFill="1" applyBorder="1"/>
    <xf numFmtId="0" fontId="17" fillId="0" borderId="37" xfId="9" applyFont="1" applyBorder="1" applyAlignment="1">
      <alignment horizontal="left"/>
    </xf>
    <xf numFmtId="0" fontId="16" fillId="0" borderId="43" xfId="0" applyFont="1" applyBorder="1" applyAlignment="1">
      <alignment horizontal="center"/>
    </xf>
    <xf numFmtId="0" fontId="16" fillId="0" borderId="44" xfId="0" applyFont="1" applyBorder="1" applyAlignment="1">
      <alignment horizontal="center"/>
    </xf>
    <xf numFmtId="0" fontId="16" fillId="0" borderId="36" xfId="0" applyFont="1" applyBorder="1" applyAlignment="1">
      <alignment horizontal="center"/>
    </xf>
    <xf numFmtId="2" fontId="16" fillId="0" borderId="36" xfId="0" applyNumberFormat="1" applyFont="1" applyBorder="1" applyAlignment="1">
      <alignment horizontal="center"/>
    </xf>
    <xf numFmtId="1" fontId="16" fillId="0" borderId="36" xfId="0" applyNumberFormat="1" applyFont="1" applyBorder="1" applyAlignment="1">
      <alignment horizontal="center"/>
    </xf>
    <xf numFmtId="1" fontId="16" fillId="0" borderId="38" xfId="0" applyNumberFormat="1" applyFont="1" applyBorder="1" applyAlignment="1">
      <alignment horizontal="center"/>
    </xf>
    <xf numFmtId="0" fontId="17" fillId="0" borderId="36" xfId="9" applyFont="1" applyBorder="1" applyAlignment="1">
      <alignment horizontal="left"/>
    </xf>
    <xf numFmtId="0" fontId="17" fillId="0" borderId="38" xfId="9" applyFont="1" applyBorder="1" applyAlignment="1">
      <alignment horizontal="left"/>
    </xf>
    <xf numFmtId="0" fontId="17" fillId="0" borderId="45" xfId="9" applyFont="1" applyBorder="1" applyAlignment="1">
      <alignment horizontal="left"/>
    </xf>
    <xf numFmtId="0" fontId="17" fillId="0" borderId="46" xfId="9" applyFont="1" applyBorder="1" applyAlignment="1">
      <alignment horizontal="left"/>
    </xf>
    <xf numFmtId="0" fontId="17" fillId="0" borderId="47" xfId="9" applyFont="1" applyBorder="1" applyAlignment="1">
      <alignment horizontal="left"/>
    </xf>
    <xf numFmtId="0" fontId="17" fillId="0" borderId="48" xfId="9" applyFont="1" applyBorder="1" applyAlignment="1">
      <alignment horizontal="left"/>
    </xf>
    <xf numFmtId="0" fontId="17" fillId="0" borderId="49" xfId="9" applyFont="1" applyBorder="1" applyAlignment="1">
      <alignment horizontal="left"/>
    </xf>
    <xf numFmtId="0" fontId="8" fillId="0" borderId="0" xfId="0" applyFont="1" applyAlignment="1">
      <alignment horizontal="left"/>
    </xf>
    <xf numFmtId="0" fontId="21" fillId="0" borderId="0" xfId="0" applyFont="1" applyAlignment="1">
      <alignment horizontal="left"/>
    </xf>
    <xf numFmtId="0" fontId="0" fillId="0" borderId="0" xfId="0" applyAlignment="1" applyProtection="1">
      <alignment horizontal="left"/>
      <protection hidden="1"/>
    </xf>
    <xf numFmtId="0" fontId="26" fillId="0" borderId="0" xfId="0" applyFont="1" applyAlignment="1" applyProtection="1">
      <alignment horizontal="left"/>
      <protection hidden="1"/>
    </xf>
    <xf numFmtId="0" fontId="17" fillId="8" borderId="3" xfId="13" applyFont="1" applyFill="1" applyBorder="1" applyAlignment="1">
      <alignment vertical="center"/>
    </xf>
    <xf numFmtId="0" fontId="16" fillId="2" borderId="0" xfId="0" applyFont="1" applyFill="1"/>
    <xf numFmtId="0" fontId="16" fillId="3" borderId="0" xfId="0" applyFont="1" applyFill="1" applyAlignment="1">
      <alignment horizontal="center"/>
    </xf>
    <xf numFmtId="0" fontId="16" fillId="4" borderId="0" xfId="0" applyFont="1" applyFill="1" applyAlignment="1">
      <alignment horizontal="center"/>
    </xf>
    <xf numFmtId="0" fontId="17" fillId="10" borderId="3" xfId="13" applyFont="1" applyFill="1" applyBorder="1" applyAlignment="1">
      <alignment vertical="center"/>
    </xf>
    <xf numFmtId="1" fontId="17" fillId="0" borderId="50" xfId="0" applyNumberFormat="1" applyFont="1" applyBorder="1" applyAlignment="1">
      <alignment horizontal="center"/>
    </xf>
    <xf numFmtId="1" fontId="17" fillId="0" borderId="42" xfId="0" applyNumberFormat="1" applyFont="1" applyBorder="1" applyAlignment="1">
      <alignment horizontal="center"/>
    </xf>
    <xf numFmtId="1" fontId="17" fillId="0" borderId="51" xfId="0" applyNumberFormat="1" applyFont="1" applyBorder="1" applyAlignment="1">
      <alignment horizontal="center"/>
    </xf>
    <xf numFmtId="1" fontId="16" fillId="0" borderId="50" xfId="0" applyNumberFormat="1" applyFont="1" applyBorder="1" applyAlignment="1">
      <alignment horizontal="center"/>
    </xf>
    <xf numFmtId="1" fontId="16" fillId="0" borderId="42" xfId="0" applyNumberFormat="1" applyFont="1" applyBorder="1" applyAlignment="1">
      <alignment horizontal="center"/>
    </xf>
    <xf numFmtId="1" fontId="16" fillId="0" borderId="52" xfId="0" applyNumberFormat="1" applyFont="1" applyBorder="1" applyAlignment="1">
      <alignment horizontal="center"/>
    </xf>
    <xf numFmtId="1" fontId="16" fillId="0" borderId="53" xfId="0" applyNumberFormat="1" applyFont="1" applyBorder="1" applyAlignment="1">
      <alignment horizontal="center"/>
    </xf>
    <xf numFmtId="1" fontId="16" fillId="0" borderId="51" xfId="0" applyNumberFormat="1" applyFont="1" applyBorder="1" applyAlignment="1">
      <alignment horizontal="center"/>
    </xf>
    <xf numFmtId="0" fontId="17" fillId="0" borderId="54" xfId="13" applyFont="1" applyBorder="1" applyAlignment="1">
      <alignment horizontal="left" vertical="center"/>
    </xf>
    <xf numFmtId="0" fontId="17" fillId="0" borderId="54" xfId="0" applyFont="1" applyBorder="1" applyAlignment="1">
      <alignment horizontal="center"/>
    </xf>
    <xf numFmtId="0" fontId="0" fillId="9" borderId="0" xfId="0" applyFill="1"/>
    <xf numFmtId="0" fontId="0" fillId="11" borderId="0" xfId="0" applyFill="1" applyProtection="1">
      <protection hidden="1"/>
    </xf>
    <xf numFmtId="49" fontId="14" fillId="11" borderId="0" xfId="0" applyNumberFormat="1" applyFont="1" applyFill="1" applyProtection="1">
      <protection hidden="1"/>
    </xf>
    <xf numFmtId="0" fontId="14" fillId="11" borderId="0" xfId="0" applyFont="1" applyFill="1" applyProtection="1">
      <protection hidden="1"/>
    </xf>
    <xf numFmtId="0" fontId="0" fillId="12" borderId="0" xfId="0" applyFill="1" applyProtection="1">
      <protection hidden="1"/>
    </xf>
    <xf numFmtId="0" fontId="0" fillId="0" borderId="1" xfId="0" applyBorder="1" applyProtection="1">
      <protection hidden="1"/>
    </xf>
    <xf numFmtId="0" fontId="0" fillId="0" borderId="19" xfId="0" applyBorder="1" applyProtection="1">
      <protection hidden="1"/>
    </xf>
    <xf numFmtId="0" fontId="0" fillId="0" borderId="2" xfId="0" applyBorder="1" applyProtection="1">
      <protection hidden="1"/>
    </xf>
    <xf numFmtId="0" fontId="0" fillId="13" borderId="1" xfId="0" applyFill="1" applyBorder="1" applyProtection="1">
      <protection hidden="1"/>
    </xf>
    <xf numFmtId="0" fontId="0" fillId="13" borderId="19" xfId="0" applyFill="1" applyBorder="1" applyProtection="1">
      <protection hidden="1"/>
    </xf>
    <xf numFmtId="49" fontId="14" fillId="13" borderId="19" xfId="0" applyNumberFormat="1" applyFont="1" applyFill="1" applyBorder="1" applyProtection="1">
      <protection hidden="1"/>
    </xf>
    <xf numFmtId="0" fontId="0" fillId="13" borderId="2" xfId="0" applyFill="1" applyBorder="1" applyProtection="1">
      <protection hidden="1"/>
    </xf>
    <xf numFmtId="0" fontId="0" fillId="13" borderId="25" xfId="0" applyFill="1" applyBorder="1" applyProtection="1">
      <protection hidden="1"/>
    </xf>
    <xf numFmtId="0" fontId="0" fillId="13" borderId="28" xfId="0" applyFill="1" applyBorder="1" applyProtection="1">
      <protection hidden="1"/>
    </xf>
    <xf numFmtId="0" fontId="0" fillId="13" borderId="27" xfId="0" applyFill="1" applyBorder="1" applyProtection="1">
      <protection hidden="1"/>
    </xf>
    <xf numFmtId="0" fontId="0" fillId="13" borderId="17" xfId="0" applyFill="1" applyBorder="1" applyProtection="1">
      <protection hidden="1"/>
    </xf>
    <xf numFmtId="49" fontId="14" fillId="13" borderId="17" xfId="0" applyNumberFormat="1" applyFont="1" applyFill="1" applyBorder="1" applyProtection="1">
      <protection hidden="1"/>
    </xf>
    <xf numFmtId="0" fontId="0" fillId="13" borderId="26" xfId="0" applyFill="1" applyBorder="1" applyProtection="1">
      <protection hidden="1"/>
    </xf>
    <xf numFmtId="0" fontId="33" fillId="0" borderId="0" xfId="0" applyFont="1" applyProtection="1">
      <protection hidden="1"/>
    </xf>
    <xf numFmtId="0" fontId="33" fillId="5" borderId="83" xfId="0" applyFont="1" applyFill="1" applyBorder="1" applyProtection="1">
      <protection hidden="1"/>
    </xf>
    <xf numFmtId="0" fontId="34" fillId="0" borderId="0" xfId="0" applyFont="1" applyProtection="1">
      <protection hidden="1"/>
    </xf>
    <xf numFmtId="0" fontId="35" fillId="0" borderId="0" xfId="9" applyFont="1" applyAlignment="1" applyProtection="1">
      <alignment horizontal="center" vertical="center"/>
      <protection hidden="1"/>
    </xf>
    <xf numFmtId="0" fontId="0" fillId="2" borderId="0" xfId="0" applyFill="1"/>
    <xf numFmtId="0" fontId="0" fillId="14" borderId="0" xfId="0" applyFill="1"/>
    <xf numFmtId="0" fontId="0" fillId="15" borderId="0" xfId="0" applyFill="1"/>
    <xf numFmtId="0" fontId="8" fillId="2" borderId="0" xfId="0" applyFont="1" applyFill="1"/>
    <xf numFmtId="0" fontId="0" fillId="15" borderId="0" xfId="0" applyFill="1" applyAlignment="1">
      <alignment horizontal="center"/>
    </xf>
    <xf numFmtId="0" fontId="0" fillId="16" borderId="0" xfId="0" applyFill="1"/>
    <xf numFmtId="0" fontId="0" fillId="12" borderId="55" xfId="0" applyFill="1" applyBorder="1" applyProtection="1">
      <protection hidden="1"/>
    </xf>
    <xf numFmtId="0" fontId="0" fillId="8" borderId="0" xfId="0" applyFill="1" applyAlignment="1">
      <alignment horizontal="right"/>
    </xf>
    <xf numFmtId="0" fontId="0" fillId="8" borderId="0" xfId="0" applyFill="1" applyAlignment="1">
      <alignment horizontal="left"/>
    </xf>
    <xf numFmtId="0" fontId="0" fillId="17" borderId="0" xfId="0" applyFill="1"/>
    <xf numFmtId="0" fontId="0" fillId="13" borderId="54" xfId="0" applyFill="1" applyBorder="1" applyProtection="1">
      <protection hidden="1"/>
    </xf>
    <xf numFmtId="0" fontId="0" fillId="18" borderId="26" xfId="0" applyFill="1" applyBorder="1" applyProtection="1">
      <protection hidden="1"/>
    </xf>
    <xf numFmtId="0" fontId="0" fillId="18" borderId="19" xfId="0" applyFill="1" applyBorder="1" applyProtection="1">
      <protection hidden="1"/>
    </xf>
    <xf numFmtId="49" fontId="14" fillId="18" borderId="19" xfId="0" applyNumberFormat="1" applyFont="1" applyFill="1" applyBorder="1" applyProtection="1">
      <protection hidden="1"/>
    </xf>
    <xf numFmtId="0" fontId="0" fillId="18" borderId="25" xfId="0" applyFill="1" applyBorder="1" applyProtection="1">
      <protection hidden="1"/>
    </xf>
    <xf numFmtId="0" fontId="0" fillId="18" borderId="17" xfId="0" applyFill="1" applyBorder="1" applyProtection="1">
      <protection hidden="1"/>
    </xf>
    <xf numFmtId="49" fontId="14" fillId="18" borderId="17" xfId="0" applyNumberFormat="1" applyFont="1" applyFill="1" applyBorder="1" applyProtection="1">
      <protection hidden="1"/>
    </xf>
    <xf numFmtId="0" fontId="15" fillId="0" borderId="0" xfId="0" applyFont="1" applyProtection="1">
      <protection hidden="1"/>
    </xf>
    <xf numFmtId="0" fontId="15" fillId="18" borderId="0" xfId="0" applyFont="1" applyFill="1" applyProtection="1">
      <protection hidden="1"/>
    </xf>
    <xf numFmtId="0" fontId="0" fillId="18" borderId="0" xfId="0" applyFill="1" applyProtection="1">
      <protection hidden="1"/>
    </xf>
    <xf numFmtId="0" fontId="0" fillId="19" borderId="54" xfId="0" applyFill="1" applyBorder="1" applyProtection="1">
      <protection hidden="1"/>
    </xf>
    <xf numFmtId="0" fontId="0" fillId="19" borderId="26" xfId="0" applyFill="1" applyBorder="1" applyProtection="1">
      <protection hidden="1"/>
    </xf>
    <xf numFmtId="0" fontId="0" fillId="19" borderId="25" xfId="0" applyFill="1" applyBorder="1" applyProtection="1">
      <protection hidden="1"/>
    </xf>
    <xf numFmtId="0" fontId="0" fillId="19" borderId="19" xfId="0" applyFill="1" applyBorder="1" applyProtection="1">
      <protection hidden="1"/>
    </xf>
    <xf numFmtId="0" fontId="0" fillId="19" borderId="17" xfId="0" applyFill="1" applyBorder="1" applyProtection="1">
      <protection hidden="1"/>
    </xf>
    <xf numFmtId="0" fontId="8" fillId="0" borderId="0" xfId="0" applyFont="1" applyAlignment="1">
      <alignment vertical="center"/>
    </xf>
    <xf numFmtId="0" fontId="8"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20" borderId="55" xfId="0" applyFill="1" applyBorder="1" applyProtection="1">
      <protection hidden="1"/>
    </xf>
    <xf numFmtId="0" fontId="0" fillId="5" borderId="84" xfId="0" applyFill="1" applyBorder="1" applyProtection="1">
      <protection hidden="1"/>
    </xf>
    <xf numFmtId="0" fontId="0" fillId="5" borderId="55" xfId="0" applyFill="1" applyBorder="1" applyProtection="1">
      <protection hidden="1"/>
    </xf>
    <xf numFmtId="0" fontId="0" fillId="3" borderId="0" xfId="0" applyFill="1" applyAlignment="1">
      <alignment vertical="center"/>
    </xf>
    <xf numFmtId="0" fontId="13" fillId="18" borderId="0" xfId="7" applyFill="1" applyProtection="1">
      <protection hidden="1"/>
    </xf>
    <xf numFmtId="0" fontId="13" fillId="11" borderId="0" xfId="7" applyFill="1" applyProtection="1">
      <protection hidden="1"/>
    </xf>
    <xf numFmtId="0" fontId="36" fillId="0" borderId="0" xfId="8" applyFont="1" applyAlignment="1" applyProtection="1">
      <alignment vertical="top" wrapText="1"/>
      <protection hidden="1"/>
    </xf>
    <xf numFmtId="0" fontId="37" fillId="18" borderId="0" xfId="7" applyFont="1" applyFill="1" applyAlignment="1" applyProtection="1">
      <alignment vertical="center"/>
      <protection hidden="1"/>
    </xf>
    <xf numFmtId="0" fontId="38" fillId="0" borderId="0" xfId="0" applyFont="1" applyProtection="1">
      <protection hidden="1"/>
    </xf>
    <xf numFmtId="0" fontId="0" fillId="10" borderId="0" xfId="0" applyFill="1"/>
    <xf numFmtId="0" fontId="0" fillId="0" borderId="55" xfId="0" applyBorder="1" applyProtection="1">
      <protection hidden="1"/>
    </xf>
    <xf numFmtId="49" fontId="14" fillId="0" borderId="55" xfId="0" applyNumberFormat="1" applyFont="1" applyBorder="1" applyProtection="1">
      <protection hidden="1"/>
    </xf>
    <xf numFmtId="0" fontId="14" fillId="0" borderId="55" xfId="0" applyFont="1" applyBorder="1" applyProtection="1">
      <protection hidden="1"/>
    </xf>
    <xf numFmtId="0" fontId="14" fillId="13" borderId="23" xfId="0" applyFont="1" applyFill="1" applyBorder="1" applyProtection="1">
      <protection hidden="1"/>
    </xf>
    <xf numFmtId="0" fontId="39" fillId="18" borderId="0" xfId="7" applyFont="1" applyFill="1" applyProtection="1">
      <protection hidden="1"/>
    </xf>
    <xf numFmtId="49" fontId="15" fillId="0" borderId="0" xfId="0" applyNumberFormat="1" applyFont="1" applyProtection="1">
      <protection hidden="1"/>
    </xf>
    <xf numFmtId="0" fontId="38" fillId="18" borderId="0" xfId="0" applyFont="1" applyFill="1" applyProtection="1">
      <protection hidden="1"/>
    </xf>
    <xf numFmtId="49" fontId="0" fillId="0" borderId="0" xfId="0" applyNumberFormat="1" applyProtection="1">
      <protection hidden="1"/>
    </xf>
    <xf numFmtId="0" fontId="0" fillId="18" borderId="0" xfId="0" applyFill="1" applyAlignment="1" applyProtection="1">
      <alignment wrapText="1"/>
      <protection hidden="1"/>
    </xf>
    <xf numFmtId="0" fontId="0" fillId="18" borderId="56" xfId="0" applyFill="1" applyBorder="1" applyProtection="1">
      <protection hidden="1"/>
    </xf>
    <xf numFmtId="0" fontId="0" fillId="0" borderId="12" xfId="0" applyBorder="1" applyProtection="1">
      <protection hidden="1"/>
    </xf>
    <xf numFmtId="0" fontId="0" fillId="18" borderId="12" xfId="0" applyFill="1" applyBorder="1" applyProtection="1">
      <protection hidden="1"/>
    </xf>
    <xf numFmtId="0" fontId="0" fillId="18" borderId="14" xfId="0" applyFill="1" applyBorder="1" applyProtection="1">
      <protection hidden="1"/>
    </xf>
    <xf numFmtId="0" fontId="11" fillId="0" borderId="0" xfId="0" applyFont="1" applyProtection="1">
      <protection hidden="1"/>
    </xf>
    <xf numFmtId="0" fontId="40" fillId="18" borderId="0" xfId="7" applyFont="1" applyFill="1" applyProtection="1">
      <protection hidden="1"/>
    </xf>
    <xf numFmtId="0" fontId="40" fillId="11" borderId="0" xfId="7" applyFont="1" applyFill="1" applyProtection="1">
      <protection hidden="1"/>
    </xf>
    <xf numFmtId="0" fontId="41" fillId="0" borderId="0" xfId="0" applyFont="1" applyProtection="1">
      <protection hidden="1"/>
    </xf>
    <xf numFmtId="0" fontId="8" fillId="0" borderId="0" xfId="0" applyFont="1" applyAlignment="1" applyProtection="1">
      <alignment horizontal="left"/>
      <protection hidden="1"/>
    </xf>
    <xf numFmtId="0" fontId="8" fillId="18" borderId="0" xfId="0" applyFont="1" applyFill="1" applyAlignment="1" applyProtection="1">
      <alignment horizontal="left"/>
      <protection hidden="1"/>
    </xf>
    <xf numFmtId="0" fontId="11" fillId="18" borderId="0" xfId="0" applyFont="1" applyFill="1" applyAlignment="1" applyProtection="1">
      <alignment horizontal="center" vertical="center"/>
      <protection hidden="1"/>
    </xf>
    <xf numFmtId="164" fontId="0" fillId="18" borderId="0" xfId="0" applyNumberFormat="1" applyFill="1" applyAlignment="1" applyProtection="1">
      <alignment horizontal="center" vertical="center"/>
      <protection hidden="1"/>
    </xf>
    <xf numFmtId="49" fontId="14" fillId="18" borderId="0" xfId="0" applyNumberFormat="1" applyFont="1" applyFill="1" applyProtection="1">
      <protection hidden="1"/>
    </xf>
    <xf numFmtId="0" fontId="14" fillId="18" borderId="0" xfId="0" applyFont="1" applyFill="1" applyProtection="1">
      <protection hidden="1"/>
    </xf>
    <xf numFmtId="0" fontId="0" fillId="0" borderId="0" xfId="0" applyAlignment="1" applyProtection="1">
      <alignment horizontal="left" vertical="center" indent="1"/>
      <protection hidden="1"/>
    </xf>
    <xf numFmtId="0" fontId="32" fillId="6" borderId="0" xfId="0" applyFont="1" applyFill="1" applyAlignment="1" applyProtection="1">
      <alignment vertical="center" wrapText="1"/>
      <protection hidden="1"/>
    </xf>
    <xf numFmtId="0" fontId="33" fillId="18" borderId="0" xfId="0" applyFont="1" applyFill="1" applyProtection="1">
      <protection hidden="1"/>
    </xf>
    <xf numFmtId="0" fontId="32" fillId="18" borderId="0" xfId="0" applyFont="1" applyFill="1" applyAlignment="1" applyProtection="1">
      <alignment vertical="center" wrapText="1"/>
      <protection hidden="1"/>
    </xf>
    <xf numFmtId="0" fontId="0" fillId="5" borderId="57" xfId="0" applyFill="1" applyBorder="1" applyProtection="1">
      <protection hidden="1"/>
    </xf>
    <xf numFmtId="0" fontId="42" fillId="0" borderId="0" xfId="1" applyFont="1" applyFill="1" applyBorder="1" applyAlignment="1" applyProtection="1">
      <alignment vertical="center"/>
      <protection hidden="1"/>
    </xf>
    <xf numFmtId="0" fontId="16" fillId="0" borderId="0" xfId="0" applyFont="1" applyAlignment="1" applyProtection="1">
      <alignment vertical="top"/>
      <protection hidden="1"/>
    </xf>
    <xf numFmtId="0" fontId="13" fillId="18" borderId="0" xfId="7" applyFill="1" applyAlignment="1" applyProtection="1">
      <alignment vertical="center"/>
      <protection hidden="1"/>
    </xf>
    <xf numFmtId="49" fontId="14"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0" fillId="13" borderId="1" xfId="0" applyFill="1" applyBorder="1" applyAlignment="1" applyProtection="1">
      <alignment vertical="center"/>
      <protection hidden="1"/>
    </xf>
    <xf numFmtId="0" fontId="0" fillId="13" borderId="19" xfId="0" applyFill="1" applyBorder="1" applyAlignment="1" applyProtection="1">
      <alignment vertical="center"/>
      <protection hidden="1"/>
    </xf>
    <xf numFmtId="0" fontId="0" fillId="19" borderId="19" xfId="0" applyFill="1" applyBorder="1" applyAlignment="1" applyProtection="1">
      <alignment vertical="center"/>
      <protection hidden="1"/>
    </xf>
    <xf numFmtId="49" fontId="14" fillId="13" borderId="19" xfId="0" applyNumberFormat="1" applyFont="1" applyFill="1" applyBorder="1" applyAlignment="1" applyProtection="1">
      <alignment vertical="center"/>
      <protection hidden="1"/>
    </xf>
    <xf numFmtId="0" fontId="14" fillId="13" borderId="23" xfId="0" applyFont="1" applyFill="1" applyBorder="1" applyAlignment="1" applyProtection="1">
      <alignment vertical="center"/>
      <protection hidden="1"/>
    </xf>
    <xf numFmtId="0" fontId="0" fillId="13" borderId="2" xfId="0" applyFill="1" applyBorder="1" applyAlignment="1" applyProtection="1">
      <alignment vertical="center"/>
      <protection hidden="1"/>
    </xf>
    <xf numFmtId="0" fontId="0" fillId="13" borderId="26"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9" xfId="0" applyBorder="1" applyAlignment="1" applyProtection="1">
      <alignment vertical="center"/>
      <protection hidden="1"/>
    </xf>
    <xf numFmtId="0" fontId="0" fillId="18" borderId="19" xfId="0" applyFill="1" applyBorder="1" applyAlignment="1" applyProtection="1">
      <alignment vertical="center"/>
      <protection hidden="1"/>
    </xf>
    <xf numFmtId="49" fontId="14" fillId="18" borderId="19"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3" borderId="25" xfId="0" applyFill="1" applyBorder="1" applyAlignment="1" applyProtection="1">
      <alignment vertical="center"/>
      <protection hidden="1"/>
    </xf>
    <xf numFmtId="0" fontId="15" fillId="18" borderId="0" xfId="0" applyFont="1" applyFill="1" applyAlignment="1" applyProtection="1">
      <alignment vertical="center"/>
      <protection hidden="1"/>
    </xf>
    <xf numFmtId="0" fontId="0" fillId="13" borderId="54" xfId="0" applyFill="1" applyBorder="1" applyAlignment="1" applyProtection="1">
      <alignment vertical="center"/>
      <protection hidden="1"/>
    </xf>
    <xf numFmtId="0" fontId="0" fillId="19" borderId="54" xfId="0" applyFill="1" applyBorder="1" applyAlignment="1" applyProtection="1">
      <alignment vertical="center"/>
      <protection hidden="1"/>
    </xf>
    <xf numFmtId="0" fontId="0" fillId="19" borderId="26" xfId="0" applyFill="1" applyBorder="1" applyAlignment="1" applyProtection="1">
      <alignment vertical="center"/>
      <protection hidden="1"/>
    </xf>
    <xf numFmtId="0" fontId="0" fillId="0" borderId="26" xfId="0" applyBorder="1" applyAlignment="1" applyProtection="1">
      <alignment vertical="center"/>
      <protection hidden="1"/>
    </xf>
    <xf numFmtId="0" fontId="0" fillId="0" borderId="25" xfId="0" applyBorder="1" applyAlignment="1" applyProtection="1">
      <alignment vertical="center"/>
      <protection hidden="1"/>
    </xf>
    <xf numFmtId="0" fontId="0" fillId="18" borderId="25" xfId="0" applyFill="1" applyBorder="1" applyAlignment="1" applyProtection="1">
      <alignment vertical="center"/>
      <protection hidden="1"/>
    </xf>
    <xf numFmtId="0" fontId="0" fillId="18" borderId="26" xfId="0" applyFill="1" applyBorder="1" applyAlignment="1" applyProtection="1">
      <alignment vertical="center"/>
      <protection hidden="1"/>
    </xf>
    <xf numFmtId="0" fontId="0" fillId="19" borderId="25" xfId="0" applyFill="1" applyBorder="1" applyAlignment="1" applyProtection="1">
      <alignment vertical="center"/>
      <protection hidden="1"/>
    </xf>
    <xf numFmtId="0" fontId="0" fillId="0" borderId="27" xfId="0" applyBorder="1" applyAlignment="1" applyProtection="1">
      <alignment vertical="center"/>
      <protection hidden="1"/>
    </xf>
    <xf numFmtId="0" fontId="0" fillId="0" borderId="17" xfId="0" applyBorder="1" applyAlignment="1" applyProtection="1">
      <alignment vertical="center"/>
      <protection hidden="1"/>
    </xf>
    <xf numFmtId="0" fontId="0" fillId="18" borderId="17" xfId="0" applyFill="1" applyBorder="1" applyAlignment="1" applyProtection="1">
      <alignment vertical="center"/>
      <protection hidden="1"/>
    </xf>
    <xf numFmtId="49" fontId="14" fillId="18" borderId="17" xfId="0" applyNumberFormat="1" applyFont="1" applyFill="1" applyBorder="1" applyAlignment="1" applyProtection="1">
      <alignment vertical="center"/>
      <protection hidden="1"/>
    </xf>
    <xf numFmtId="0" fontId="0" fillId="0" borderId="28" xfId="0" applyBorder="1" applyAlignment="1" applyProtection="1">
      <alignment vertical="center"/>
      <protection hidden="1"/>
    </xf>
    <xf numFmtId="0" fontId="0" fillId="13" borderId="27" xfId="0" applyFill="1" applyBorder="1" applyAlignment="1" applyProtection="1">
      <alignment vertical="center"/>
      <protection hidden="1"/>
    </xf>
    <xf numFmtId="0" fontId="0" fillId="13" borderId="17" xfId="0" applyFill="1" applyBorder="1" applyAlignment="1" applyProtection="1">
      <alignment vertical="center"/>
      <protection hidden="1"/>
    </xf>
    <xf numFmtId="0" fontId="0" fillId="19" borderId="17" xfId="0" applyFill="1" applyBorder="1" applyAlignment="1" applyProtection="1">
      <alignment vertical="center"/>
      <protection hidden="1"/>
    </xf>
    <xf numFmtId="49" fontId="14" fillId="13" borderId="17" xfId="0" applyNumberFormat="1" applyFont="1" applyFill="1" applyBorder="1" applyAlignment="1" applyProtection="1">
      <alignment vertical="center"/>
      <protection hidden="1"/>
    </xf>
    <xf numFmtId="0" fontId="0" fillId="13" borderId="28" xfId="0" applyFill="1" applyBorder="1" applyAlignment="1" applyProtection="1">
      <alignment vertical="center"/>
      <protection hidden="1"/>
    </xf>
    <xf numFmtId="0" fontId="31" fillId="0" borderId="0" xfId="0" applyFont="1" applyAlignment="1" applyProtection="1">
      <alignment vertical="center"/>
      <protection hidden="1"/>
    </xf>
    <xf numFmtId="0" fontId="43" fillId="0" borderId="0" xfId="0" applyFont="1" applyProtection="1">
      <protection hidden="1"/>
    </xf>
    <xf numFmtId="0" fontId="43" fillId="18" borderId="0" xfId="0" applyFont="1" applyFill="1" applyProtection="1">
      <protection hidden="1"/>
    </xf>
    <xf numFmtId="0" fontId="44" fillId="0" borderId="0" xfId="0" applyFont="1" applyAlignment="1" applyProtection="1">
      <alignment vertical="center"/>
      <protection hidden="1"/>
    </xf>
    <xf numFmtId="0" fontId="44" fillId="5" borderId="90" xfId="0" applyFont="1" applyFill="1" applyBorder="1" applyAlignment="1" applyProtection="1">
      <alignment vertical="center"/>
      <protection hidden="1"/>
    </xf>
    <xf numFmtId="0" fontId="44" fillId="0" borderId="90" xfId="0" applyFont="1" applyBorder="1" applyAlignment="1" applyProtection="1">
      <alignment vertical="center"/>
      <protection hidden="1"/>
    </xf>
    <xf numFmtId="0" fontId="0" fillId="18" borderId="0" xfId="0" applyFill="1" applyAlignment="1" applyProtection="1">
      <alignment vertical="center"/>
      <protection hidden="1"/>
    </xf>
    <xf numFmtId="0" fontId="13" fillId="0" borderId="0" xfId="7" applyAlignment="1" applyProtection="1">
      <alignment vertical="center"/>
      <protection hidden="1"/>
    </xf>
    <xf numFmtId="0" fontId="45" fillId="0" borderId="0" xfId="8" applyFont="1" applyAlignment="1" applyProtection="1">
      <alignment vertical="center" wrapText="1"/>
      <protection hidden="1"/>
    </xf>
    <xf numFmtId="0" fontId="38" fillId="0" borderId="0" xfId="0" applyFont="1" applyAlignment="1" applyProtection="1">
      <alignment vertical="center"/>
      <protection hidden="1"/>
    </xf>
    <xf numFmtId="0" fontId="46" fillId="18" borderId="0" xfId="7" applyFont="1" applyFill="1" applyAlignment="1" applyProtection="1">
      <alignment vertical="center"/>
      <protection hidden="1"/>
    </xf>
    <xf numFmtId="0" fontId="46" fillId="0" borderId="0" xfId="7" applyFont="1" applyAlignment="1" applyProtection="1">
      <alignment vertical="center"/>
      <protection hidden="1"/>
    </xf>
    <xf numFmtId="0" fontId="47" fillId="18" borderId="0" xfId="7" applyFont="1" applyFill="1" applyAlignment="1" applyProtection="1">
      <alignment vertical="center"/>
      <protection hidden="1"/>
    </xf>
    <xf numFmtId="0" fontId="44" fillId="0" borderId="91" xfId="0" applyFont="1" applyBorder="1" applyAlignment="1" applyProtection="1">
      <alignment vertical="center"/>
      <protection hidden="1"/>
    </xf>
    <xf numFmtId="0" fontId="44" fillId="0" borderId="15" xfId="0" applyFont="1" applyBorder="1" applyAlignment="1" applyProtection="1">
      <alignment vertical="center"/>
      <protection hidden="1"/>
    </xf>
    <xf numFmtId="0" fontId="0" fillId="5" borderId="55" xfId="0" applyFill="1" applyBorder="1" applyAlignment="1" applyProtection="1">
      <alignment vertical="center"/>
      <protection hidden="1"/>
    </xf>
    <xf numFmtId="0" fontId="0" fillId="0" borderId="92" xfId="0" applyBorder="1" applyProtection="1">
      <protection hidden="1"/>
    </xf>
    <xf numFmtId="49" fontId="14" fillId="0" borderId="92" xfId="0" applyNumberFormat="1" applyFont="1" applyBorder="1" applyProtection="1">
      <protection hidden="1"/>
    </xf>
    <xf numFmtId="0" fontId="14" fillId="0" borderId="92" xfId="0" applyFont="1" applyBorder="1" applyProtection="1">
      <protection hidden="1"/>
    </xf>
    <xf numFmtId="0" fontId="0" fillId="0" borderId="0" xfId="0" applyAlignment="1" applyProtection="1">
      <alignment vertical="center"/>
      <protection locked="0" hidden="1"/>
    </xf>
    <xf numFmtId="0" fontId="15" fillId="0" borderId="19" xfId="0" applyFont="1" applyBorder="1" applyAlignment="1" applyProtection="1">
      <alignment vertical="center"/>
      <protection hidden="1"/>
    </xf>
    <xf numFmtId="0" fontId="30" fillId="0" borderId="0" xfId="0" applyFont="1" applyAlignment="1" applyProtection="1">
      <alignment vertical="center"/>
      <protection hidden="1"/>
    </xf>
    <xf numFmtId="0" fontId="44" fillId="0" borderId="90"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93" xfId="0" applyBorder="1" applyProtection="1">
      <protection hidden="1"/>
    </xf>
    <xf numFmtId="0" fontId="0" fillId="0" borderId="94" xfId="0" applyBorder="1" applyAlignment="1" applyProtection="1">
      <alignment horizontal="left" indent="1"/>
      <protection hidden="1"/>
    </xf>
    <xf numFmtId="0" fontId="44" fillId="0" borderId="95" xfId="0" applyFont="1" applyBorder="1" applyAlignment="1" applyProtection="1">
      <alignment horizontal="left" vertical="center" indent="1"/>
      <protection hidden="1"/>
    </xf>
    <xf numFmtId="0" fontId="0" fillId="0" borderId="94" xfId="0" applyBorder="1" applyProtection="1">
      <protection hidden="1"/>
    </xf>
    <xf numFmtId="0" fontId="48" fillId="0" borderId="0" xfId="0" applyFont="1" applyAlignment="1" applyProtection="1">
      <alignment vertical="center"/>
      <protection hidden="1"/>
    </xf>
    <xf numFmtId="9" fontId="33" fillId="0" borderId="0" xfId="0" applyNumberFormat="1" applyFont="1" applyAlignment="1" applyProtection="1">
      <alignment vertical="center"/>
      <protection hidden="1"/>
    </xf>
    <xf numFmtId="0" fontId="33" fillId="0" borderId="0" xfId="0" applyFont="1" applyAlignment="1" applyProtection="1">
      <alignment vertical="center"/>
      <protection hidden="1"/>
    </xf>
    <xf numFmtId="49" fontId="14" fillId="12" borderId="0" xfId="0" applyNumberFormat="1" applyFont="1" applyFill="1" applyProtection="1">
      <protection hidden="1"/>
    </xf>
    <xf numFmtId="0" fontId="14" fillId="12" borderId="0" xfId="0" applyFont="1" applyFill="1" applyProtection="1">
      <protection hidden="1"/>
    </xf>
    <xf numFmtId="0" fontId="0" fillId="21" borderId="57" xfId="0" applyFill="1" applyBorder="1" applyProtection="1">
      <protection hidden="1"/>
    </xf>
    <xf numFmtId="0" fontId="0" fillId="0" borderId="57" xfId="0" applyBorder="1" applyProtection="1">
      <protection hidden="1"/>
    </xf>
    <xf numFmtId="0" fontId="13" fillId="18" borderId="0" xfId="7" applyFill="1" applyProtection="1">
      <protection locked="0" hidden="1"/>
    </xf>
    <xf numFmtId="0" fontId="13" fillId="0" borderId="0" xfId="7" applyProtection="1">
      <protection locked="0" hidden="1"/>
    </xf>
    <xf numFmtId="0" fontId="13" fillId="11" borderId="0" xfId="7" applyFill="1" applyProtection="1">
      <protection locked="0" hidden="1"/>
    </xf>
    <xf numFmtId="0" fontId="10" fillId="0" borderId="0" xfId="2" applyFill="1" applyAlignment="1" applyProtection="1">
      <protection locked="0" hidden="1"/>
    </xf>
    <xf numFmtId="0" fontId="49" fillId="0" borderId="0" xfId="0" applyFont="1" applyProtection="1">
      <protection locked="0" hidden="1"/>
    </xf>
    <xf numFmtId="0" fontId="50" fillId="0" borderId="0" xfId="7" applyFont="1" applyProtection="1">
      <protection locked="0" hidden="1"/>
    </xf>
    <xf numFmtId="0" fontId="0" fillId="0" borderId="0" xfId="0" applyProtection="1">
      <protection locked="0"/>
    </xf>
    <xf numFmtId="0" fontId="16" fillId="0" borderId="0" xfId="0" applyFont="1" applyProtection="1">
      <protection locked="0"/>
    </xf>
    <xf numFmtId="0" fontId="51" fillId="0" borderId="0" xfId="0" applyFont="1" applyAlignment="1" applyProtection="1">
      <alignment horizontal="center" vertical="center" textRotation="90" wrapText="1"/>
      <protection locked="0"/>
    </xf>
    <xf numFmtId="0" fontId="52" fillId="0" borderId="0" xfId="0" applyFont="1" applyAlignment="1" applyProtection="1">
      <alignment vertical="center"/>
      <protection hidden="1"/>
    </xf>
    <xf numFmtId="0" fontId="53" fillId="0" borderId="0" xfId="0" applyFont="1" applyAlignment="1" applyProtection="1">
      <alignment vertical="center"/>
      <protection hidden="1"/>
    </xf>
    <xf numFmtId="0" fontId="26" fillId="0" borderId="0" xfId="0" applyFont="1" applyAlignment="1" applyProtection="1">
      <alignment vertical="center"/>
      <protection locked="0" hidden="1"/>
    </xf>
    <xf numFmtId="0" fontId="46" fillId="18" borderId="0" xfId="7" applyFont="1" applyFill="1" applyAlignment="1" applyProtection="1">
      <alignment vertical="center"/>
      <protection locked="0" hidden="1"/>
    </xf>
    <xf numFmtId="0" fontId="14" fillId="0" borderId="0" xfId="0" applyFont="1" applyAlignment="1" applyProtection="1">
      <alignment vertical="center"/>
      <protection locked="0" hidden="1"/>
    </xf>
    <xf numFmtId="49" fontId="14" fillId="0" borderId="0" xfId="0" applyNumberFormat="1" applyFont="1" applyAlignment="1" applyProtection="1">
      <alignment vertical="center"/>
      <protection locked="0" hidden="1"/>
    </xf>
    <xf numFmtId="0" fontId="46" fillId="0" borderId="0" xfId="7" applyFont="1" applyAlignment="1" applyProtection="1">
      <alignment vertical="center"/>
      <protection locked="0" hidden="1"/>
    </xf>
    <xf numFmtId="0" fontId="26" fillId="18" borderId="0" xfId="0" applyFont="1" applyFill="1" applyAlignment="1" applyProtection="1">
      <alignment vertical="center"/>
      <protection locked="0" hidden="1"/>
    </xf>
    <xf numFmtId="0" fontId="0" fillId="18" borderId="0" xfId="0" applyFill="1" applyAlignment="1" applyProtection="1">
      <alignment vertical="center"/>
      <protection locked="0" hidden="1"/>
    </xf>
    <xf numFmtId="0" fontId="54" fillId="18" borderId="0" xfId="0" applyFont="1" applyFill="1" applyAlignment="1" applyProtection="1">
      <alignment vertical="center" wrapText="1"/>
      <protection locked="0" hidden="1"/>
    </xf>
    <xf numFmtId="0" fontId="14" fillId="18" borderId="0" xfId="0" applyFont="1" applyFill="1" applyAlignment="1" applyProtection="1">
      <alignment vertical="center"/>
      <protection locked="0" hidden="1"/>
    </xf>
    <xf numFmtId="0" fontId="31" fillId="18" borderId="0" xfId="0" applyFont="1" applyFill="1" applyAlignment="1" applyProtection="1">
      <alignment vertical="center"/>
      <protection locked="0" hidden="1"/>
    </xf>
    <xf numFmtId="0" fontId="33" fillId="0" borderId="0" xfId="0" applyFont="1" applyAlignment="1" applyProtection="1">
      <alignment vertical="center"/>
      <protection locked="0" hidden="1"/>
    </xf>
    <xf numFmtId="0" fontId="31" fillId="0" borderId="0" xfId="0" applyFont="1" applyAlignment="1" applyProtection="1">
      <alignment vertical="center"/>
      <protection locked="0" hidden="1"/>
    </xf>
    <xf numFmtId="0" fontId="38" fillId="0" borderId="0" xfId="0" applyFont="1" applyAlignment="1" applyProtection="1">
      <alignment vertical="center"/>
      <protection locked="0" hidden="1"/>
    </xf>
    <xf numFmtId="0" fontId="45" fillId="0" borderId="0" xfId="8" applyFont="1" applyAlignment="1" applyProtection="1">
      <alignment vertical="center" wrapText="1"/>
      <protection locked="0" hidden="1"/>
    </xf>
    <xf numFmtId="0" fontId="39" fillId="0" borderId="0" xfId="7" applyFont="1" applyProtection="1">
      <protection locked="0" hidden="1"/>
    </xf>
    <xf numFmtId="0" fontId="44" fillId="0" borderId="96" xfId="0" applyFont="1" applyBorder="1" applyAlignment="1" applyProtection="1">
      <alignment vertical="center"/>
      <protection hidden="1"/>
    </xf>
    <xf numFmtId="0" fontId="28" fillId="0" borderId="0" xfId="0" applyFont="1" applyProtection="1">
      <protection locked="0"/>
    </xf>
    <xf numFmtId="0" fontId="29" fillId="0" borderId="0" xfId="0" applyFont="1" applyProtection="1">
      <protection locked="0"/>
    </xf>
    <xf numFmtId="0" fontId="21" fillId="0" borderId="0" xfId="0" applyFont="1" applyProtection="1">
      <protection locked="0"/>
    </xf>
    <xf numFmtId="0" fontId="20" fillId="0" borderId="0" xfId="0" applyFont="1" applyAlignment="1" applyProtection="1">
      <alignment vertical="center"/>
      <protection locked="0" hidden="1"/>
    </xf>
    <xf numFmtId="49" fontId="20" fillId="0" borderId="0" xfId="0" applyNumberFormat="1" applyFont="1" applyAlignment="1" applyProtection="1">
      <alignment vertical="center"/>
      <protection locked="0" hidden="1"/>
    </xf>
    <xf numFmtId="0" fontId="8" fillId="0" borderId="0" xfId="0" applyFont="1" applyAlignment="1">
      <alignment horizontal="right" vertical="center"/>
    </xf>
    <xf numFmtId="0" fontId="0" fillId="0" borderId="0" xfId="0" applyAlignment="1" applyProtection="1">
      <alignment horizontal="center" vertical="center"/>
      <protection hidden="1"/>
    </xf>
    <xf numFmtId="0" fontId="34" fillId="0" borderId="0" xfId="0" applyFont="1" applyAlignment="1" applyProtection="1">
      <alignment horizontal="center" vertical="center"/>
      <protection hidden="1"/>
    </xf>
    <xf numFmtId="49" fontId="14" fillId="0" borderId="0" xfId="0" applyNumberFormat="1" applyFont="1" applyAlignment="1" applyProtection="1">
      <alignment horizontal="center" vertical="center"/>
      <protection hidden="1"/>
    </xf>
    <xf numFmtId="0" fontId="14" fillId="0" borderId="0" xfId="0" applyFont="1" applyAlignment="1" applyProtection="1">
      <alignment horizontal="center" vertical="center"/>
      <protection hidden="1"/>
    </xf>
    <xf numFmtId="0" fontId="14" fillId="22" borderId="0" xfId="0" applyFont="1" applyFill="1" applyAlignment="1" applyProtection="1">
      <alignment vertical="center"/>
      <protection locked="0" hidden="1"/>
    </xf>
    <xf numFmtId="0" fontId="0" fillId="0" borderId="16" xfId="0" applyBorder="1" applyAlignment="1" applyProtection="1">
      <alignment horizontal="center" vertical="center"/>
      <protection locked="0" hidden="1"/>
    </xf>
    <xf numFmtId="0" fontId="0" fillId="0" borderId="18"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6" fillId="0" borderId="1" xfId="0" applyFont="1" applyBorder="1" applyProtection="1">
      <protection locked="0"/>
    </xf>
    <xf numFmtId="0" fontId="16" fillId="0" borderId="2" xfId="0" applyFont="1" applyBorder="1" applyProtection="1">
      <protection locked="0"/>
    </xf>
    <xf numFmtId="0" fontId="16" fillId="0" borderId="3" xfId="0" applyFont="1" applyBorder="1" applyProtection="1">
      <protection locked="0"/>
    </xf>
    <xf numFmtId="0" fontId="16" fillId="0" borderId="40" xfId="0" applyFont="1" applyBorder="1" applyAlignment="1" applyProtection="1">
      <alignment horizontal="center"/>
      <protection locked="0"/>
    </xf>
    <xf numFmtId="0" fontId="16" fillId="0" borderId="41"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6" fillId="0" borderId="39" xfId="13" applyFont="1" applyBorder="1" applyAlignment="1" applyProtection="1">
      <alignment vertical="center"/>
      <protection locked="0"/>
    </xf>
    <xf numFmtId="0" fontId="16" fillId="0" borderId="3" xfId="13" applyFont="1" applyBorder="1" applyAlignment="1" applyProtection="1">
      <alignment vertical="center"/>
      <protection locked="0"/>
    </xf>
    <xf numFmtId="0" fontId="16" fillId="0" borderId="3" xfId="13" applyFont="1" applyBorder="1" applyAlignment="1" applyProtection="1">
      <alignment horizontal="left" vertical="center"/>
      <protection locked="0"/>
    </xf>
    <xf numFmtId="0" fontId="16" fillId="0" borderId="3" xfId="13" applyFont="1" applyBorder="1" applyAlignment="1" applyProtection="1">
      <alignment horizontal="left"/>
      <protection locked="0"/>
    </xf>
    <xf numFmtId="1" fontId="16" fillId="0" borderId="3" xfId="0" applyNumberFormat="1" applyFont="1" applyBorder="1" applyProtection="1">
      <protection locked="0"/>
    </xf>
    <xf numFmtId="0" fontId="16" fillId="0" borderId="0" xfId="13" applyFont="1" applyAlignment="1" applyProtection="1">
      <alignment horizontal="left" vertical="center"/>
      <protection locked="0"/>
    </xf>
    <xf numFmtId="0" fontId="16" fillId="0" borderId="0" xfId="13" applyFont="1" applyProtection="1">
      <protection locked="0"/>
    </xf>
    <xf numFmtId="2" fontId="16" fillId="0" borderId="0" xfId="0" applyNumberFormat="1" applyFont="1" applyProtection="1">
      <protection locked="0"/>
    </xf>
    <xf numFmtId="1" fontId="16" fillId="0" borderId="0" xfId="0" applyNumberFormat="1" applyFont="1" applyProtection="1">
      <protection locked="0"/>
    </xf>
    <xf numFmtId="0" fontId="16" fillId="0" borderId="0" xfId="13" applyFont="1" applyAlignment="1" applyProtection="1">
      <alignment vertical="center"/>
      <protection locked="0"/>
    </xf>
    <xf numFmtId="0" fontId="16" fillId="0" borderId="11" xfId="13" applyFont="1" applyBorder="1" applyAlignment="1" applyProtection="1">
      <alignment vertical="center"/>
      <protection locked="0"/>
    </xf>
    <xf numFmtId="0" fontId="16" fillId="0" borderId="14" xfId="13" applyFont="1" applyBorder="1" applyAlignment="1" applyProtection="1">
      <alignment horizontal="left" vertical="center"/>
      <protection locked="0"/>
    </xf>
    <xf numFmtId="0" fontId="16" fillId="0" borderId="60" xfId="13" applyFont="1" applyBorder="1" applyProtection="1">
      <protection locked="0"/>
    </xf>
    <xf numFmtId="0" fontId="16" fillId="0" borderId="61" xfId="13" applyFont="1" applyBorder="1" applyProtection="1">
      <protection locked="0"/>
    </xf>
    <xf numFmtId="0" fontId="16" fillId="0" borderId="8" xfId="13" applyFont="1" applyBorder="1" applyAlignment="1" applyProtection="1">
      <alignment horizontal="left" vertical="center"/>
      <protection locked="0"/>
    </xf>
    <xf numFmtId="0" fontId="16" fillId="0" borderId="9" xfId="13" applyFont="1" applyBorder="1" applyAlignment="1" applyProtection="1">
      <alignment horizontal="left" vertical="center"/>
      <protection locked="0"/>
    </xf>
    <xf numFmtId="0" fontId="16" fillId="0" borderId="9" xfId="13" applyFont="1" applyBorder="1" applyAlignment="1" applyProtection="1">
      <alignment vertical="center"/>
      <protection locked="0"/>
    </xf>
    <xf numFmtId="0" fontId="16" fillId="0" borderId="21" xfId="13" applyFont="1" applyBorder="1" applyAlignment="1" applyProtection="1">
      <alignment horizontal="left" vertical="center"/>
      <protection locked="0"/>
    </xf>
    <xf numFmtId="0" fontId="16" fillId="0" borderId="54" xfId="0" applyFont="1" applyBorder="1" applyProtection="1">
      <protection locked="0"/>
    </xf>
    <xf numFmtId="2" fontId="16" fillId="0" borderId="54" xfId="0" applyNumberFormat="1" applyFont="1" applyBorder="1" applyProtection="1">
      <protection locked="0"/>
    </xf>
    <xf numFmtId="1" fontId="16" fillId="0" borderId="54" xfId="0" applyNumberFormat="1" applyFont="1" applyBorder="1" applyProtection="1">
      <protection locked="0"/>
    </xf>
    <xf numFmtId="0" fontId="16" fillId="0" borderId="40" xfId="13" applyFont="1" applyBorder="1" applyProtection="1">
      <protection locked="0"/>
    </xf>
    <xf numFmtId="0" fontId="16" fillId="0" borderId="0" xfId="13" applyFont="1" applyAlignment="1" applyProtection="1">
      <alignment horizontal="left"/>
      <protection locked="0"/>
    </xf>
    <xf numFmtId="0" fontId="16" fillId="0" borderId="0" xfId="9" applyFont="1" applyAlignment="1" applyProtection="1">
      <alignment horizontal="left"/>
      <protection locked="0"/>
    </xf>
    <xf numFmtId="0" fontId="55" fillId="0" borderId="0" xfId="13" applyFont="1"/>
    <xf numFmtId="49" fontId="0" fillId="0" borderId="0" xfId="0" applyNumberFormat="1" applyProtection="1">
      <protection locked="0"/>
    </xf>
    <xf numFmtId="0" fontId="56"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6" fillId="0" borderId="0" xfId="13" quotePrefix="1" applyFont="1" applyProtection="1">
      <protection locked="0"/>
    </xf>
    <xf numFmtId="0" fontId="57" fillId="0" borderId="0" xfId="0" applyFont="1"/>
    <xf numFmtId="0" fontId="58" fillId="11" borderId="0" xfId="7" applyFont="1" applyFill="1" applyAlignment="1" applyProtection="1">
      <alignment horizontal="center" vertical="center"/>
      <protection hidden="1"/>
    </xf>
    <xf numFmtId="0" fontId="59" fillId="0" borderId="0" xfId="0" applyFont="1" applyAlignment="1" applyProtection="1">
      <alignment horizontal="center" vertical="center" textRotation="90"/>
      <protection locked="0"/>
    </xf>
    <xf numFmtId="0" fontId="16" fillId="0" borderId="62" xfId="13" applyFont="1" applyBorder="1" applyAlignment="1" applyProtection="1">
      <alignment vertical="center"/>
      <protection locked="0"/>
    </xf>
    <xf numFmtId="0" fontId="0" fillId="0" borderId="3" xfId="0" applyBorder="1" applyProtection="1">
      <protection locked="0"/>
    </xf>
    <xf numFmtId="0" fontId="50" fillId="0" borderId="0" xfId="7" applyFont="1" applyProtection="1">
      <protection hidden="1"/>
    </xf>
    <xf numFmtId="0" fontId="57" fillId="0" borderId="0" xfId="0" applyFont="1" applyAlignment="1">
      <alignment wrapText="1"/>
    </xf>
    <xf numFmtId="0" fontId="60" fillId="0" borderId="0" xfId="0" applyFont="1" applyAlignment="1">
      <alignment horizontal="left" vertical="center"/>
    </xf>
    <xf numFmtId="0" fontId="7" fillId="0" borderId="0" xfId="13" applyFont="1" applyAlignment="1" applyProtection="1">
      <alignment vertical="center"/>
      <protection locked="0"/>
    </xf>
    <xf numFmtId="0" fontId="25" fillId="0" borderId="0" xfId="0" applyFont="1" applyAlignment="1" applyProtection="1">
      <alignment horizontal="center" vertical="center"/>
      <protection hidden="1"/>
    </xf>
    <xf numFmtId="0" fontId="0" fillId="0" borderId="62" xfId="0" applyBorder="1"/>
    <xf numFmtId="0" fontId="0" fillId="0" borderId="54" xfId="0" applyBorder="1"/>
    <xf numFmtId="0" fontId="0" fillId="0" borderId="63" xfId="0" applyBorder="1"/>
    <xf numFmtId="0" fontId="0" fillId="0" borderId="0" xfId="0" applyAlignment="1">
      <alignment vertical="center" wrapText="1"/>
    </xf>
    <xf numFmtId="0" fontId="0" fillId="0" borderId="0" xfId="0" applyAlignment="1">
      <alignment wrapText="1"/>
    </xf>
    <xf numFmtId="0" fontId="0" fillId="23" borderId="0" xfId="0" applyFill="1" applyAlignment="1" applyProtection="1">
      <alignment vertical="center"/>
      <protection hidden="1"/>
    </xf>
    <xf numFmtId="0" fontId="61" fillId="0" borderId="0" xfId="0" applyFont="1" applyAlignment="1">
      <alignment horizontal="left" vertical="center"/>
    </xf>
    <xf numFmtId="0" fontId="0" fillId="17" borderId="0" xfId="0" applyFill="1" applyAlignment="1" applyProtection="1">
      <alignment vertical="center"/>
      <protection hidden="1"/>
    </xf>
    <xf numFmtId="0" fontId="35" fillId="23" borderId="91" xfId="0" applyFont="1" applyFill="1" applyBorder="1" applyAlignment="1" applyProtection="1">
      <alignment vertical="top"/>
      <protection hidden="1"/>
    </xf>
    <xf numFmtId="0" fontId="35" fillId="23" borderId="90" xfId="0" applyFont="1" applyFill="1" applyBorder="1" applyAlignment="1" applyProtection="1">
      <alignment vertical="top"/>
      <protection hidden="1"/>
    </xf>
    <xf numFmtId="0" fontId="35" fillId="23" borderId="90" xfId="0" applyFont="1" applyFill="1" applyBorder="1" applyProtection="1">
      <protection hidden="1"/>
    </xf>
    <xf numFmtId="0" fontId="44" fillId="0" borderId="91" xfId="0" applyFont="1" applyBorder="1" applyAlignment="1" applyProtection="1">
      <alignment horizontal="right" vertical="center"/>
      <protection hidden="1"/>
    </xf>
    <xf numFmtId="0" fontId="44" fillId="0" borderId="90" xfId="0" applyFont="1" applyBorder="1" applyAlignment="1" applyProtection="1">
      <alignment horizontal="right" vertical="center"/>
      <protection hidden="1"/>
    </xf>
    <xf numFmtId="0" fontId="62" fillId="0" borderId="0" xfId="0" applyFont="1" applyAlignment="1" applyProtection="1">
      <alignment horizontal="center" vertical="center" textRotation="90"/>
      <protection locked="0"/>
    </xf>
    <xf numFmtId="0" fontId="63" fillId="0" borderId="0" xfId="0" applyFont="1" applyAlignment="1">
      <alignment horizontal="left" vertical="center"/>
    </xf>
    <xf numFmtId="0" fontId="44" fillId="5" borderId="97" xfId="0" applyFont="1" applyFill="1" applyBorder="1" applyAlignment="1" applyProtection="1">
      <alignment vertical="center"/>
      <protection hidden="1"/>
    </xf>
    <xf numFmtId="0" fontId="54" fillId="0" borderId="0" xfId="0" applyFont="1"/>
    <xf numFmtId="0" fontId="0" fillId="0" borderId="64" xfId="0" applyBorder="1" applyAlignment="1" applyProtection="1">
      <alignment vertical="center"/>
      <protection hidden="1"/>
    </xf>
    <xf numFmtId="0" fontId="60" fillId="0" borderId="0" xfId="0" applyFont="1" applyAlignment="1">
      <alignment horizontal="left" vertical="center" wrapText="1"/>
    </xf>
    <xf numFmtId="0" fontId="7" fillId="0" borderId="0" xfId="13" applyFont="1" applyAlignment="1" applyProtection="1">
      <alignment horizontal="left"/>
      <protection locked="0"/>
    </xf>
    <xf numFmtId="0" fontId="80" fillId="0" borderId="0" xfId="0" applyFont="1" applyAlignment="1">
      <alignment vertical="center"/>
    </xf>
    <xf numFmtId="0" fontId="54" fillId="0" borderId="0" xfId="0" applyFont="1" applyProtection="1">
      <protection hidden="1"/>
    </xf>
    <xf numFmtId="0" fontId="0" fillId="0" borderId="0" xfId="0" applyAlignment="1" applyProtection="1">
      <alignment vertical="top"/>
      <protection hidden="1"/>
    </xf>
    <xf numFmtId="0" fontId="15" fillId="0" borderId="85" xfId="0" applyFont="1" applyBorder="1" applyProtection="1">
      <protection hidden="1"/>
    </xf>
    <xf numFmtId="0" fontId="15" fillId="0" borderId="86" xfId="0" applyFont="1" applyBorder="1" applyProtection="1">
      <protection hidden="1"/>
    </xf>
    <xf numFmtId="0" fontId="15" fillId="5" borderId="55"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8" fillId="0" borderId="0" xfId="0" applyFont="1" applyAlignment="1" applyProtection="1">
      <alignment vertical="center"/>
      <protection hidden="1"/>
    </xf>
    <xf numFmtId="0" fontId="24" fillId="0" borderId="0" xfId="0" applyFont="1" applyProtection="1">
      <protection hidden="1"/>
    </xf>
    <xf numFmtId="0" fontId="51" fillId="0" borderId="0" xfId="0" applyFont="1" applyProtection="1">
      <protection hidden="1"/>
    </xf>
    <xf numFmtId="0" fontId="0" fillId="18" borderId="57" xfId="0" applyFill="1" applyBorder="1" applyProtection="1">
      <protection hidden="1"/>
    </xf>
    <xf numFmtId="0" fontId="0" fillId="27" borderId="0" xfId="0" applyFill="1"/>
    <xf numFmtId="0" fontId="0" fillId="28" borderId="0" xfId="0" applyFill="1"/>
    <xf numFmtId="0" fontId="0" fillId="3" borderId="0" xfId="0" applyFill="1"/>
    <xf numFmtId="0" fontId="8" fillId="21" borderId="57" xfId="0" applyFont="1" applyFill="1" applyBorder="1" applyProtection="1">
      <protection hidden="1"/>
    </xf>
    <xf numFmtId="0" fontId="0" fillId="0" borderId="0" xfId="0" quotePrefix="1"/>
    <xf numFmtId="0" fontId="80" fillId="0" borderId="0" xfId="0" quotePrefix="1" applyFont="1" applyAlignment="1">
      <alignment vertical="center"/>
    </xf>
    <xf numFmtId="0" fontId="83" fillId="0" borderId="0" xfId="0" applyFont="1" applyAlignment="1">
      <alignment horizontal="left" vertical="center"/>
    </xf>
    <xf numFmtId="0" fontId="55" fillId="0" borderId="3" xfId="13" applyFont="1" applyBorder="1" applyAlignment="1">
      <alignment vertical="center"/>
    </xf>
    <xf numFmtId="0" fontId="72" fillId="0" borderId="0" xfId="0" applyFont="1" applyAlignment="1" applyProtection="1">
      <alignment vertical="center" wrapText="1"/>
      <protection hidden="1"/>
    </xf>
    <xf numFmtId="0" fontId="16" fillId="0" borderId="0" xfId="0" applyFont="1" applyAlignment="1" applyProtection="1">
      <alignment horizontal="center"/>
      <protection locked="0"/>
    </xf>
    <xf numFmtId="0" fontId="22" fillId="0" borderId="0" xfId="0" applyFont="1" applyAlignment="1" applyProtection="1">
      <alignment horizontal="right"/>
      <protection hidden="1"/>
    </xf>
    <xf numFmtId="0" fontId="85" fillId="29" borderId="0" xfId="0" applyFont="1" applyFill="1"/>
    <xf numFmtId="0" fontId="14" fillId="8" borderId="0" xfId="0" applyFont="1" applyFill="1" applyAlignment="1" applyProtection="1">
      <alignment vertical="center"/>
      <protection locked="0" hidden="1"/>
    </xf>
    <xf numFmtId="0" fontId="15" fillId="12" borderId="55" xfId="0" applyFont="1" applyFill="1" applyBorder="1" applyProtection="1">
      <protection locked="0" hidden="1"/>
    </xf>
    <xf numFmtId="0" fontId="11" fillId="11" borderId="55" xfId="0" applyFont="1" applyFill="1" applyBorder="1" applyAlignment="1" applyProtection="1">
      <alignment vertical="center"/>
      <protection hidden="1"/>
    </xf>
    <xf numFmtId="0" fontId="43" fillId="0" borderId="0" xfId="0" applyFont="1" applyProtection="1">
      <protection locked="0" hidden="1"/>
    </xf>
    <xf numFmtId="0" fontId="22" fillId="18" borderId="0" xfId="0" applyFont="1" applyFill="1" applyAlignment="1" applyProtection="1">
      <alignment vertical="center"/>
      <protection hidden="1"/>
    </xf>
    <xf numFmtId="43" fontId="15" fillId="12" borderId="55" xfId="19" applyFont="1" applyFill="1" applyBorder="1" applyAlignment="1" applyProtection="1">
      <protection hidden="1"/>
    </xf>
    <xf numFmtId="0" fontId="0" fillId="11" borderId="93" xfId="0" applyFill="1" applyBorder="1" applyProtection="1">
      <protection hidden="1"/>
    </xf>
    <xf numFmtId="0" fontId="22" fillId="0" borderId="0" xfId="0" applyFont="1" applyProtection="1">
      <protection hidden="1"/>
    </xf>
    <xf numFmtId="0" fontId="15" fillId="12" borderId="76" xfId="0" applyFont="1" applyFill="1" applyBorder="1" applyProtection="1">
      <protection hidden="1"/>
    </xf>
    <xf numFmtId="0" fontId="15" fillId="12" borderId="55" xfId="0" applyFont="1" applyFill="1" applyBorder="1" applyProtection="1">
      <protection hidden="1"/>
    </xf>
    <xf numFmtId="1" fontId="16" fillId="0" borderId="3" xfId="0" applyNumberFormat="1" applyFont="1" applyBorder="1" applyAlignment="1" applyProtection="1">
      <alignment wrapText="1"/>
      <protection locked="0"/>
    </xf>
    <xf numFmtId="0" fontId="16" fillId="8" borderId="3" xfId="0" applyFont="1" applyFill="1" applyBorder="1" applyProtection="1">
      <protection locked="0"/>
    </xf>
    <xf numFmtId="0" fontId="85" fillId="30" borderId="0" xfId="0" applyFont="1" applyFill="1"/>
    <xf numFmtId="0" fontId="16" fillId="8" borderId="0" xfId="0" applyFont="1" applyFill="1" applyAlignment="1" applyProtection="1">
      <alignment horizontal="center"/>
      <protection locked="0"/>
    </xf>
    <xf numFmtId="0" fontId="16" fillId="0" borderId="19" xfId="13" applyFont="1" applyBorder="1" applyProtection="1">
      <protection locked="0"/>
    </xf>
    <xf numFmtId="0" fontId="16" fillId="0" borderId="11" xfId="13" applyFont="1" applyBorder="1" applyProtection="1">
      <protection locked="0"/>
    </xf>
    <xf numFmtId="0" fontId="16" fillId="0" borderId="112" xfId="13" applyFont="1" applyBorder="1" applyProtection="1">
      <protection locked="0"/>
    </xf>
    <xf numFmtId="0" fontId="0" fillId="31" borderId="0" xfId="0" applyFill="1"/>
    <xf numFmtId="0" fontId="21" fillId="0" borderId="0" xfId="0" applyFont="1" applyAlignment="1" applyProtection="1">
      <alignment vertical="center"/>
      <protection locked="0" hidden="1"/>
    </xf>
    <xf numFmtId="0" fontId="26" fillId="8" borderId="0" xfId="0" applyFont="1" applyFill="1" applyAlignment="1" applyProtection="1">
      <alignment vertical="center"/>
      <protection locked="0" hidden="1"/>
    </xf>
    <xf numFmtId="0" fontId="72" fillId="8" borderId="0" xfId="0" applyFont="1" applyFill="1" applyAlignment="1" applyProtection="1">
      <alignment vertical="center" wrapText="1"/>
      <protection hidden="1"/>
    </xf>
    <xf numFmtId="0" fontId="20" fillId="8" borderId="0" xfId="0" applyFont="1" applyFill="1" applyAlignment="1" applyProtection="1">
      <alignment vertical="center"/>
      <protection locked="0" hidden="1"/>
    </xf>
    <xf numFmtId="0" fontId="20" fillId="0" borderId="3" xfId="0" applyFont="1" applyBorder="1" applyAlignment="1" applyProtection="1">
      <alignment vertical="center"/>
      <protection locked="0" hidden="1"/>
    </xf>
    <xf numFmtId="0" fontId="20"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2" borderId="3" xfId="0" applyFill="1" applyBorder="1" applyAlignment="1" applyProtection="1">
      <alignment vertical="center"/>
      <protection locked="0" hidden="1"/>
    </xf>
    <xf numFmtId="0" fontId="88" fillId="0" borderId="0" xfId="0" applyFont="1" applyAlignment="1" applyProtection="1">
      <alignment vertical="center"/>
      <protection hidden="1"/>
    </xf>
    <xf numFmtId="0" fontId="16" fillId="0" borderId="0" xfId="0" applyFont="1" applyAlignment="1" applyProtection="1">
      <alignment wrapText="1"/>
      <protection hidden="1"/>
    </xf>
    <xf numFmtId="0" fontId="27" fillId="0" borderId="0" xfId="0" applyFont="1" applyProtection="1">
      <protection hidden="1"/>
    </xf>
    <xf numFmtId="0" fontId="15" fillId="0" borderId="0" xfId="0" applyFont="1" applyProtection="1">
      <protection locked="0" hidden="1"/>
    </xf>
    <xf numFmtId="0" fontId="0" fillId="5" borderId="0" xfId="0" applyFill="1" applyProtection="1">
      <protection hidden="1"/>
    </xf>
    <xf numFmtId="0" fontId="15" fillId="5" borderId="0" xfId="0" applyFont="1" applyFill="1" applyProtection="1">
      <protection hidden="1"/>
    </xf>
    <xf numFmtId="0" fontId="0" fillId="0" borderId="86" xfId="0" applyBorder="1" applyProtection="1">
      <protection hidden="1"/>
    </xf>
    <xf numFmtId="0" fontId="0" fillId="5" borderId="86" xfId="0" applyFill="1" applyBorder="1" applyProtection="1">
      <protection hidden="1"/>
    </xf>
    <xf numFmtId="0" fontId="15" fillId="0" borderId="0" xfId="0" applyFont="1" applyAlignment="1" applyProtection="1">
      <alignment wrapText="1"/>
      <protection locked="0"/>
    </xf>
    <xf numFmtId="0" fontId="26" fillId="0" borderId="0" xfId="0" applyFont="1" applyProtection="1">
      <protection locked="0" hidden="1"/>
    </xf>
    <xf numFmtId="0" fontId="0" fillId="18" borderId="0" xfId="0" applyFill="1" applyProtection="1">
      <protection locked="0" hidden="1"/>
    </xf>
    <xf numFmtId="0" fontId="26" fillId="18" borderId="0" xfId="0" applyFont="1" applyFill="1" applyProtection="1">
      <protection locked="0" hidden="1"/>
    </xf>
    <xf numFmtId="0" fontId="0" fillId="0" borderId="0" xfId="0" applyAlignment="1" applyProtection="1">
      <alignment horizontal="center"/>
      <protection locked="0" hidden="1"/>
    </xf>
    <xf numFmtId="0" fontId="86" fillId="0" borderId="0" xfId="20" applyProtection="1">
      <protection locked="0"/>
    </xf>
    <xf numFmtId="167" fontId="86" fillId="0" borderId="0" xfId="20" applyNumberFormat="1" applyAlignment="1" applyProtection="1">
      <alignment horizontal="center"/>
      <protection locked="0"/>
    </xf>
    <xf numFmtId="168" fontId="86" fillId="0" borderId="0" xfId="20" applyNumberFormat="1" applyAlignment="1" applyProtection="1">
      <alignment horizontal="center"/>
      <protection locked="0"/>
    </xf>
    <xf numFmtId="49" fontId="86" fillId="0" borderId="0" xfId="20" applyNumberFormat="1" applyProtection="1">
      <protection locked="0"/>
    </xf>
    <xf numFmtId="0" fontId="26" fillId="0" borderId="3" xfId="0" applyFont="1" applyBorder="1" applyProtection="1">
      <protection hidden="1"/>
    </xf>
    <xf numFmtId="0" fontId="15" fillId="0" borderId="0" xfId="0" applyFont="1" applyAlignment="1" applyProtection="1">
      <alignment horizontal="center"/>
      <protection hidden="1"/>
    </xf>
    <xf numFmtId="0" fontId="15" fillId="18" borderId="0" xfId="0" applyFont="1" applyFill="1" applyAlignment="1" applyProtection="1">
      <alignment horizontal="left"/>
      <protection hidden="1"/>
    </xf>
    <xf numFmtId="0" fontId="75" fillId="18" borderId="0" xfId="0" applyFont="1" applyFill="1" applyAlignment="1" applyProtection="1">
      <alignment horizontal="center"/>
      <protection hidden="1"/>
    </xf>
    <xf numFmtId="0" fontId="15" fillId="0" borderId="0" xfId="0" applyFont="1" applyAlignment="1" applyProtection="1">
      <alignment vertical="top"/>
      <protection hidden="1"/>
    </xf>
    <xf numFmtId="0" fontId="75" fillId="0" borderId="0" xfId="0" applyFont="1" applyProtection="1">
      <protection hidden="1"/>
    </xf>
    <xf numFmtId="1" fontId="15" fillId="0" borderId="0" xfId="0" applyNumberFormat="1" applyFont="1" applyAlignment="1" applyProtection="1">
      <alignment vertical="top"/>
      <protection hidden="1"/>
    </xf>
    <xf numFmtId="0" fontId="75" fillId="18" borderId="0" xfId="0" applyFont="1" applyFill="1" applyProtection="1">
      <protection hidden="1"/>
    </xf>
    <xf numFmtId="2" fontId="52" fillId="18" borderId="0" xfId="0" applyNumberFormat="1" applyFont="1" applyFill="1" applyAlignment="1" applyProtection="1">
      <alignment vertical="center"/>
      <protection hidden="1"/>
    </xf>
    <xf numFmtId="0" fontId="15" fillId="11" borderId="0" xfId="0" applyFont="1" applyFill="1" applyAlignment="1" applyProtection="1">
      <alignment vertical="center"/>
      <protection hidden="1"/>
    </xf>
    <xf numFmtId="2" fontId="44" fillId="12" borderId="0" xfId="0" applyNumberFormat="1" applyFont="1" applyFill="1" applyAlignment="1" applyProtection="1">
      <alignment vertical="center"/>
      <protection hidden="1"/>
    </xf>
    <xf numFmtId="0" fontId="15" fillId="11" borderId="0" xfId="0" applyFont="1" applyFill="1" applyProtection="1">
      <protection hidden="1"/>
    </xf>
    <xf numFmtId="0" fontId="0" fillId="0" borderId="26" xfId="0" applyBorder="1" applyAlignment="1" applyProtection="1">
      <alignment vertical="center" textRotation="90"/>
      <protection hidden="1"/>
    </xf>
    <xf numFmtId="9" fontId="44" fillId="0" borderId="0" xfId="0" applyNumberFormat="1" applyFont="1" applyAlignment="1" applyProtection="1">
      <alignment vertical="center"/>
      <protection hidden="1"/>
    </xf>
    <xf numFmtId="164" fontId="0" fillId="0" borderId="0" xfId="0" applyNumberFormat="1" applyProtection="1">
      <protection locked="0"/>
    </xf>
    <xf numFmtId="16" fontId="16" fillId="0" borderId="0" xfId="0" applyNumberFormat="1" applyFont="1" applyAlignment="1" applyProtection="1">
      <alignment wrapText="1"/>
      <protection hidden="1"/>
    </xf>
    <xf numFmtId="0" fontId="0" fillId="0" borderId="3" xfId="0" applyBorder="1" applyAlignment="1">
      <alignment horizontal="center"/>
    </xf>
    <xf numFmtId="0" fontId="80" fillId="18" borderId="3" xfId="0" applyFont="1" applyFill="1" applyBorder="1" applyAlignment="1">
      <alignment horizontal="center" vertical="center"/>
    </xf>
    <xf numFmtId="0" fontId="92" fillId="0" borderId="0" xfId="0" applyFont="1" applyAlignment="1">
      <alignment vertical="center"/>
    </xf>
    <xf numFmtId="0" fontId="24" fillId="0" borderId="0" xfId="0" applyFont="1"/>
    <xf numFmtId="169" fontId="0" fillId="0" borderId="0" xfId="0" applyNumberFormat="1" applyAlignment="1">
      <alignment horizontal="center"/>
    </xf>
    <xf numFmtId="0" fontId="90" fillId="18" borderId="115" xfId="0" applyFont="1" applyFill="1" applyBorder="1" applyAlignment="1">
      <alignment vertical="center"/>
    </xf>
    <xf numFmtId="0" fontId="0" fillId="0" borderId="116" xfId="0" applyBorder="1" applyAlignment="1">
      <alignment horizontal="center"/>
    </xf>
    <xf numFmtId="0" fontId="8" fillId="0" borderId="59" xfId="0" applyFont="1" applyBorder="1"/>
    <xf numFmtId="0" fontId="0" fillId="0" borderId="24" xfId="0" applyBorder="1" applyProtection="1">
      <protection hidden="1"/>
    </xf>
    <xf numFmtId="0" fontId="75" fillId="18" borderId="0" xfId="0" applyFont="1" applyFill="1"/>
    <xf numFmtId="0" fontId="15" fillId="18" borderId="0" xfId="0" applyFont="1" applyFill="1"/>
    <xf numFmtId="0" fontId="0" fillId="18" borderId="0" xfId="0" applyFill="1"/>
    <xf numFmtId="49" fontId="14" fillId="0" borderId="0" xfId="0" applyNumberFormat="1" applyFont="1"/>
    <xf numFmtId="0" fontId="0" fillId="0" borderId="0" xfId="0" applyAlignment="1" applyProtection="1">
      <alignment vertical="center" wrapText="1"/>
      <protection hidden="1"/>
    </xf>
    <xf numFmtId="0" fontId="15" fillId="0" borderId="0" xfId="0" applyFont="1" applyAlignment="1" applyProtection="1">
      <alignment vertical="center"/>
      <protection hidden="1"/>
    </xf>
    <xf numFmtId="0" fontId="12" fillId="0" borderId="0" xfId="0" applyFont="1"/>
    <xf numFmtId="0" fontId="12" fillId="0" borderId="0" xfId="0" applyFont="1" applyAlignment="1" applyProtection="1">
      <alignment horizontal="left"/>
      <protection locked="0"/>
    </xf>
    <xf numFmtId="0" fontId="12" fillId="0" borderId="0" xfId="0" applyFont="1" applyProtection="1">
      <protection locked="0"/>
    </xf>
    <xf numFmtId="49" fontId="12" fillId="0" borderId="0" xfId="0" applyNumberFormat="1" applyFont="1" applyProtection="1">
      <protection locked="0"/>
    </xf>
    <xf numFmtId="0" fontId="12" fillId="18" borderId="0" xfId="0" applyFont="1" applyFill="1"/>
    <xf numFmtId="0" fontId="12" fillId="0" borderId="0" xfId="0" applyFont="1" applyAlignment="1">
      <alignment vertical="top"/>
    </xf>
    <xf numFmtId="0" fontId="12" fillId="0" borderId="0" xfId="0" applyFont="1" applyAlignment="1">
      <alignment vertical="top" wrapText="1"/>
    </xf>
    <xf numFmtId="0" fontId="0" fillId="0" borderId="0" xfId="0" applyAlignment="1">
      <alignment vertical="top"/>
    </xf>
    <xf numFmtId="0" fontId="16" fillId="0" borderId="22" xfId="13" applyFont="1" applyBorder="1" applyAlignment="1" applyProtection="1">
      <alignment vertical="center"/>
      <protection locked="0"/>
    </xf>
    <xf numFmtId="1" fontId="15" fillId="12" borderId="0" xfId="17" applyNumberFormat="1" applyFont="1" applyFill="1" applyBorder="1" applyAlignment="1" applyProtection="1">
      <protection locked="0" hidden="1"/>
    </xf>
    <xf numFmtId="0" fontId="25" fillId="0" borderId="0" xfId="0" applyFont="1" applyAlignment="1" applyProtection="1">
      <alignment vertical="center"/>
      <protection hidden="1"/>
    </xf>
    <xf numFmtId="0" fontId="80" fillId="12" borderId="3" xfId="0" applyFont="1" applyFill="1" applyBorder="1" applyAlignment="1">
      <alignment horizontal="center" vertical="center"/>
    </xf>
    <xf numFmtId="0" fontId="0" fillId="12" borderId="3" xfId="0" applyFill="1" applyBorder="1" applyAlignment="1">
      <alignment horizontal="center" vertical="center"/>
    </xf>
    <xf numFmtId="0" fontId="0" fillId="0" borderId="113" xfId="0" applyBorder="1"/>
    <xf numFmtId="0" fontId="8" fillId="0" borderId="115" xfId="0" applyFont="1" applyBorder="1"/>
    <xf numFmtId="0" fontId="0" fillId="12" borderId="116" xfId="0" applyFill="1" applyBorder="1" applyAlignment="1">
      <alignment horizontal="center" vertical="center"/>
    </xf>
    <xf numFmtId="0" fontId="0" fillId="0" borderId="60" xfId="0" applyBorder="1"/>
    <xf numFmtId="0" fontId="0" fillId="0" borderId="61" xfId="0" applyBorder="1" applyAlignment="1">
      <alignment horizontal="center"/>
    </xf>
    <xf numFmtId="0" fontId="0" fillId="12" borderId="3" xfId="0" applyFill="1" applyBorder="1" applyAlignment="1">
      <alignment horizontal="center"/>
    </xf>
    <xf numFmtId="0" fontId="90" fillId="18" borderId="113" xfId="0" applyFont="1" applyFill="1" applyBorder="1" applyAlignment="1">
      <alignment vertical="center"/>
    </xf>
    <xf numFmtId="0" fontId="80" fillId="18" borderId="58" xfId="0" applyFont="1" applyFill="1" applyBorder="1" applyAlignment="1">
      <alignment horizontal="center" vertical="center"/>
    </xf>
    <xf numFmtId="0" fontId="0" fillId="0" borderId="58" xfId="0" applyBorder="1" applyAlignment="1">
      <alignment horizontal="center"/>
    </xf>
    <xf numFmtId="0" fontId="0" fillId="0" borderId="114" xfId="0" applyBorder="1" applyAlignment="1">
      <alignment horizontal="center"/>
    </xf>
    <xf numFmtId="0" fontId="0" fillId="12" borderId="116" xfId="0" applyFill="1" applyBorder="1" applyAlignment="1">
      <alignment horizontal="center"/>
    </xf>
    <xf numFmtId="0" fontId="64" fillId="11" borderId="0" xfId="7" applyFont="1" applyFill="1" applyAlignment="1" applyProtection="1">
      <alignment horizontal="center" vertical="center" wrapText="1"/>
      <protection locked="0" hidden="1"/>
    </xf>
    <xf numFmtId="0" fontId="45" fillId="0" borderId="0" xfId="8" applyFont="1" applyAlignment="1" applyProtection="1">
      <alignment horizontal="center" vertical="center" wrapText="1"/>
      <protection locked="0" hidden="1"/>
    </xf>
    <xf numFmtId="0" fontId="45" fillId="0" borderId="17" xfId="8" applyFont="1" applyBorder="1" applyAlignment="1" applyProtection="1">
      <alignment horizontal="center" vertical="center" wrapText="1"/>
      <protection locked="0" hidden="1"/>
    </xf>
    <xf numFmtId="0" fontId="65" fillId="11" borderId="0" xfId="7" applyFont="1" applyFill="1" applyAlignment="1" applyProtection="1">
      <alignment horizontal="center" vertical="center"/>
      <protection locked="0" hidden="1"/>
    </xf>
    <xf numFmtId="0" fontId="42" fillId="18" borderId="94" xfId="1" applyFont="1" applyFill="1" applyBorder="1" applyAlignment="1" applyProtection="1">
      <alignment horizontal="center" vertical="center"/>
      <protection hidden="1"/>
    </xf>
    <xf numFmtId="0" fontId="42" fillId="18" borderId="0" xfId="1" applyFont="1" applyFill="1" applyBorder="1" applyAlignment="1" applyProtection="1">
      <alignment horizontal="center" vertical="center"/>
      <protection hidden="1"/>
    </xf>
    <xf numFmtId="0" fontId="42" fillId="11" borderId="94" xfId="1" applyFont="1" applyFill="1" applyBorder="1" applyAlignment="1" applyProtection="1">
      <alignment horizontal="center" vertical="center"/>
      <protection hidden="1"/>
    </xf>
    <xf numFmtId="0" fontId="42" fillId="11" borderId="0" xfId="1" applyFont="1" applyFill="1" applyBorder="1" applyAlignment="1" applyProtection="1">
      <alignment horizontal="center" vertical="center"/>
      <protection hidden="1"/>
    </xf>
    <xf numFmtId="0" fontId="11" fillId="18" borderId="0" xfId="0" applyFont="1" applyFill="1" applyAlignment="1" applyProtection="1">
      <alignment horizontal="left" indent="1"/>
      <protection hidden="1"/>
    </xf>
    <xf numFmtId="0" fontId="0" fillId="18" borderId="0" xfId="0" applyFill="1" applyAlignment="1" applyProtection="1">
      <alignment horizontal="center"/>
      <protection locked="0" hidden="1"/>
    </xf>
    <xf numFmtId="0" fontId="11" fillId="11" borderId="84" xfId="0" applyFont="1" applyFill="1" applyBorder="1" applyAlignment="1" applyProtection="1">
      <alignment horizontal="left" indent="1"/>
      <protection hidden="1"/>
    </xf>
    <xf numFmtId="0" fontId="15" fillId="12" borderId="0" xfId="0" applyFont="1" applyFill="1" applyAlignment="1" applyProtection="1">
      <alignment horizontal="center"/>
      <protection locked="0" hidden="1"/>
    </xf>
    <xf numFmtId="3" fontId="15" fillId="12" borderId="0" xfId="0" applyNumberFormat="1" applyFont="1" applyFill="1" applyAlignment="1" applyProtection="1">
      <alignment horizontal="center"/>
      <protection locked="0" hidden="1"/>
    </xf>
    <xf numFmtId="0" fontId="11" fillId="0" borderId="0" xfId="0" applyFont="1" applyAlignment="1" applyProtection="1">
      <alignment horizontal="left" indent="1"/>
      <protection hidden="1"/>
    </xf>
    <xf numFmtId="0" fontId="11" fillId="0" borderId="0" xfId="0" applyFont="1" applyAlignment="1" applyProtection="1">
      <alignment horizontal="center"/>
      <protection hidden="1"/>
    </xf>
    <xf numFmtId="1" fontId="15" fillId="12" borderId="0" xfId="17" applyNumberFormat="1" applyFont="1" applyFill="1" applyBorder="1" applyAlignment="1" applyProtection="1">
      <alignment horizontal="right"/>
      <protection locked="0" hidden="1"/>
    </xf>
    <xf numFmtId="0" fontId="15" fillId="0" borderId="0" xfId="0" applyFont="1" applyAlignment="1" applyProtection="1">
      <alignment horizontal="center"/>
      <protection locked="0" hidden="1"/>
    </xf>
    <xf numFmtId="0" fontId="15" fillId="0" borderId="0" xfId="0" applyFont="1" applyAlignment="1" applyProtection="1">
      <alignment horizontal="left" vertical="top" wrapText="1"/>
      <protection locked="0" hidden="1"/>
    </xf>
    <xf numFmtId="0" fontId="42" fillId="0" borderId="94" xfId="1" applyFont="1" applyFill="1" applyBorder="1" applyAlignment="1" applyProtection="1">
      <alignment horizontal="center" vertical="center"/>
      <protection hidden="1"/>
    </xf>
    <xf numFmtId="0" fontId="42" fillId="0" borderId="0" xfId="1" applyFont="1" applyFill="1" applyBorder="1" applyAlignment="1" applyProtection="1">
      <alignment horizontal="center" vertical="center"/>
      <protection hidden="1"/>
    </xf>
    <xf numFmtId="0" fontId="73" fillId="23" borderId="0" xfId="7" applyFont="1" applyFill="1" applyAlignment="1" applyProtection="1">
      <alignment horizontal="center" vertical="center"/>
      <protection hidden="1"/>
    </xf>
    <xf numFmtId="0" fontId="68" fillId="23" borderId="94" xfId="1" applyFont="1" applyFill="1" applyBorder="1" applyAlignment="1" applyProtection="1">
      <alignment horizontal="center" vertical="center"/>
      <protection hidden="1"/>
    </xf>
    <xf numFmtId="0" fontId="68" fillId="23" borderId="0" xfId="1" applyFont="1" applyFill="1" applyBorder="1" applyAlignment="1" applyProtection="1">
      <alignment horizontal="center" vertical="center"/>
      <protection hidden="1"/>
    </xf>
    <xf numFmtId="0" fontId="68" fillId="18" borderId="0" xfId="1" applyFont="1" applyFill="1" applyBorder="1" applyAlignment="1" applyProtection="1">
      <alignment horizontal="center" vertical="center"/>
      <protection hidden="1"/>
    </xf>
    <xf numFmtId="0" fontId="68" fillId="0" borderId="0" xfId="1" applyFont="1" applyFill="1" applyBorder="1" applyAlignment="1" applyProtection="1">
      <alignment horizontal="center" vertical="center"/>
      <protection hidden="1"/>
    </xf>
    <xf numFmtId="0" fontId="94" fillId="0" borderId="0" xfId="1" applyFont="1" applyFill="1" applyBorder="1" applyAlignment="1" applyProtection="1">
      <alignment horizontal="center" vertical="center"/>
      <protection hidden="1"/>
    </xf>
    <xf numFmtId="0" fontId="91" fillId="12" borderId="58" xfId="0" applyFont="1" applyFill="1" applyBorder="1" applyAlignment="1">
      <alignment horizontal="center" vertical="center" wrapText="1"/>
    </xf>
    <xf numFmtId="0" fontId="92" fillId="18" borderId="119" xfId="0" applyFont="1" applyFill="1" applyBorder="1" applyAlignment="1">
      <alignment horizontal="center" vertical="center"/>
    </xf>
    <xf numFmtId="0" fontId="92" fillId="18" borderId="120" xfId="0" applyFont="1" applyFill="1" applyBorder="1" applyAlignment="1">
      <alignment horizontal="center" vertical="center"/>
    </xf>
    <xf numFmtId="0" fontId="92" fillId="18" borderId="121" xfId="0" applyFont="1" applyFill="1" applyBorder="1" applyAlignment="1">
      <alignment horizontal="center" vertical="center"/>
    </xf>
    <xf numFmtId="0" fontId="24" fillId="12" borderId="58" xfId="0" applyFont="1" applyFill="1" applyBorder="1" applyAlignment="1">
      <alignment horizontal="center"/>
    </xf>
    <xf numFmtId="0" fontId="24" fillId="12" borderId="114" xfId="0" applyFont="1" applyFill="1" applyBorder="1" applyAlignment="1">
      <alignment horizontal="center"/>
    </xf>
    <xf numFmtId="0" fontId="0" fillId="0" borderId="60" xfId="0" applyBorder="1" applyAlignment="1">
      <alignment horizontal="center"/>
    </xf>
    <xf numFmtId="0" fontId="0" fillId="0" borderId="61" xfId="0" applyBorder="1" applyAlignment="1">
      <alignment horizontal="center"/>
    </xf>
    <xf numFmtId="2" fontId="52" fillId="0" borderId="0" xfId="0" applyNumberFormat="1" applyFont="1" applyAlignment="1" applyProtection="1">
      <alignment horizontal="left" vertical="center"/>
      <protection locked="0"/>
    </xf>
    <xf numFmtId="0" fontId="35" fillId="0" borderId="0" xfId="0" applyFont="1" applyAlignment="1" applyProtection="1">
      <alignment horizontal="right" vertical="center"/>
      <protection locked="0"/>
    </xf>
    <xf numFmtId="0" fontId="0" fillId="0" borderId="0" xfId="0" applyAlignment="1" applyProtection="1">
      <alignment horizontal="center"/>
      <protection locked="0"/>
    </xf>
    <xf numFmtId="0" fontId="20" fillId="0" borderId="0" xfId="0" applyFont="1" applyAlignment="1" applyProtection="1">
      <alignment horizontal="center" vertical="center" wrapText="1"/>
      <protection hidden="1"/>
    </xf>
    <xf numFmtId="0" fontId="35" fillId="11" borderId="94" xfId="0" applyFont="1" applyFill="1" applyBorder="1" applyAlignment="1" applyProtection="1">
      <alignment horizontal="right" vertical="center" indent="1"/>
      <protection hidden="1"/>
    </xf>
    <xf numFmtId="0" fontId="35" fillId="11" borderId="0" xfId="0" applyFont="1" applyFill="1" applyAlignment="1" applyProtection="1">
      <alignment horizontal="right" vertical="center" indent="1"/>
      <protection hidden="1"/>
    </xf>
    <xf numFmtId="0" fontId="35" fillId="11" borderId="117" xfId="0" applyFont="1" applyFill="1" applyBorder="1" applyAlignment="1" applyProtection="1">
      <alignment horizontal="right" vertical="center" indent="1"/>
      <protection hidden="1"/>
    </xf>
    <xf numFmtId="0" fontId="35" fillId="11" borderId="97"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97" xfId="0" applyFill="1" applyBorder="1" applyAlignment="1" applyProtection="1">
      <alignment horizontal="center" vertical="center"/>
      <protection hidden="1"/>
    </xf>
    <xf numFmtId="164" fontId="44" fillId="12" borderId="90" xfId="0" applyNumberFormat="1" applyFont="1" applyFill="1" applyBorder="1" applyAlignment="1" applyProtection="1">
      <alignment horizontal="center" vertical="center"/>
      <protection locked="0" hidden="1"/>
    </xf>
    <xf numFmtId="164" fontId="44" fillId="12" borderId="98" xfId="0" applyNumberFormat="1" applyFont="1" applyFill="1" applyBorder="1" applyAlignment="1" applyProtection="1">
      <alignment horizontal="center" vertical="center"/>
      <protection locked="0" hidden="1"/>
    </xf>
    <xf numFmtId="0" fontId="44" fillId="12" borderId="90" xfId="0" applyFont="1" applyFill="1" applyBorder="1" applyAlignment="1" applyProtection="1">
      <alignment horizontal="center" vertical="center"/>
      <protection locked="0" hidden="1"/>
    </xf>
    <xf numFmtId="0" fontId="44" fillId="12" borderId="98" xfId="0" applyFont="1" applyFill="1" applyBorder="1" applyAlignment="1" applyProtection="1">
      <alignment horizontal="center" vertical="center"/>
      <protection locked="0" hidden="1"/>
    </xf>
    <xf numFmtId="0" fontId="44" fillId="12" borderId="90" xfId="0" applyFont="1" applyFill="1" applyBorder="1" applyAlignment="1" applyProtection="1">
      <alignment horizontal="center"/>
      <protection locked="0" hidden="1"/>
    </xf>
    <xf numFmtId="0" fontId="44" fillId="12" borderId="98" xfId="0" applyFont="1" applyFill="1" applyBorder="1" applyAlignment="1" applyProtection="1">
      <alignment horizontal="center"/>
      <protection locked="0" hidden="1"/>
    </xf>
    <xf numFmtId="0" fontId="35" fillId="11" borderId="95" xfId="0" applyFont="1" applyFill="1" applyBorder="1" applyAlignment="1" applyProtection="1">
      <alignment horizontal="left" vertical="center" indent="1"/>
      <protection hidden="1"/>
    </xf>
    <xf numFmtId="0" fontId="35" fillId="11" borderId="90" xfId="0" applyFont="1" applyFill="1" applyBorder="1" applyAlignment="1" applyProtection="1">
      <alignment horizontal="left" vertical="center" indent="1"/>
      <protection hidden="1"/>
    </xf>
    <xf numFmtId="2" fontId="52" fillId="12" borderId="0" xfId="0" applyNumberFormat="1" applyFont="1" applyFill="1" applyAlignment="1" applyProtection="1">
      <alignment horizontal="right" vertical="center"/>
      <protection hidden="1"/>
    </xf>
    <xf numFmtId="2" fontId="52" fillId="12" borderId="97" xfId="0" applyNumberFormat="1" applyFont="1" applyFill="1" applyBorder="1" applyAlignment="1" applyProtection="1">
      <alignment horizontal="right" vertical="center"/>
      <protection hidden="1"/>
    </xf>
    <xf numFmtId="2" fontId="52" fillId="12" borderId="93" xfId="0" applyNumberFormat="1" applyFont="1" applyFill="1" applyBorder="1" applyAlignment="1" applyProtection="1">
      <alignment horizontal="left" vertical="center"/>
      <protection hidden="1"/>
    </xf>
    <xf numFmtId="2" fontId="52" fillId="12" borderId="118" xfId="0" applyNumberFormat="1" applyFont="1" applyFill="1" applyBorder="1" applyAlignment="1" applyProtection="1">
      <alignment horizontal="left" vertical="center"/>
      <protection hidden="1"/>
    </xf>
    <xf numFmtId="2" fontId="52" fillId="0" borderId="0" xfId="0" applyNumberFormat="1" applyFont="1" applyAlignment="1" applyProtection="1">
      <alignment horizontal="right" vertical="center"/>
      <protection locked="0"/>
    </xf>
    <xf numFmtId="0" fontId="44" fillId="0" borderId="90" xfId="0" applyFont="1" applyBorder="1" applyAlignment="1" applyProtection="1">
      <alignment horizontal="center" vertical="center"/>
      <protection hidden="1"/>
    </xf>
    <xf numFmtId="0" fontId="44" fillId="0" borderId="98" xfId="0" applyFont="1" applyBorder="1" applyAlignment="1" applyProtection="1">
      <alignment horizontal="center" vertical="center"/>
      <protection hidden="1"/>
    </xf>
    <xf numFmtId="0" fontId="35" fillId="11" borderId="0" xfId="0" applyFont="1" applyFill="1" applyAlignment="1" applyProtection="1">
      <alignment horizontal="left" indent="1"/>
      <protection hidden="1"/>
    </xf>
    <xf numFmtId="0" fontId="44" fillId="12" borderId="0" xfId="0" applyFont="1" applyFill="1" applyAlignment="1" applyProtection="1">
      <alignment horizontal="center"/>
      <protection locked="0" hidden="1"/>
    </xf>
    <xf numFmtId="0" fontId="35" fillId="18" borderId="0" xfId="0" applyFont="1" applyFill="1" applyAlignment="1" applyProtection="1">
      <alignment horizontal="left" indent="1"/>
      <protection hidden="1"/>
    </xf>
    <xf numFmtId="0" fontId="93" fillId="0" borderId="0" xfId="1" applyFont="1" applyFill="1" applyAlignment="1" applyProtection="1">
      <alignment horizontal="center" vertical="center" wrapText="1"/>
      <protection hidden="1"/>
    </xf>
    <xf numFmtId="0" fontId="44" fillId="18" borderId="0" xfId="0" applyFont="1" applyFill="1" applyAlignment="1" applyProtection="1">
      <alignment horizontal="center"/>
      <protection locked="0" hidden="1"/>
    </xf>
    <xf numFmtId="9" fontId="15" fillId="18" borderId="0" xfId="17" applyFont="1" applyFill="1" applyBorder="1" applyAlignment="1" applyProtection="1">
      <alignment horizontal="center"/>
      <protection locked="0" hidden="1"/>
    </xf>
    <xf numFmtId="0" fontId="59" fillId="0" borderId="66" xfId="0" applyFont="1" applyBorder="1" applyAlignment="1" applyProtection="1">
      <alignment horizontal="center" vertical="center" textRotation="90"/>
      <protection locked="0"/>
    </xf>
    <xf numFmtId="0" fontId="59" fillId="0" borderId="67" xfId="0" applyFont="1" applyBorder="1" applyAlignment="1" applyProtection="1">
      <alignment horizontal="center" vertical="center" textRotation="90"/>
      <protection locked="0"/>
    </xf>
    <xf numFmtId="0" fontId="59" fillId="0" borderId="68" xfId="0" applyFont="1" applyBorder="1" applyAlignment="1" applyProtection="1">
      <alignment horizontal="center" vertical="center" textRotation="90"/>
      <protection locked="0"/>
    </xf>
    <xf numFmtId="0" fontId="62" fillId="0" borderId="0" xfId="0" applyFont="1" applyAlignment="1" applyProtection="1">
      <alignment horizontal="center" vertical="center" textRotation="90"/>
      <protection locked="0"/>
    </xf>
    <xf numFmtId="0" fontId="51" fillId="0" borderId="13" xfId="0" applyFont="1" applyBorder="1" applyAlignment="1" applyProtection="1">
      <alignment horizontal="center" vertical="center" textRotation="90" wrapText="1"/>
      <protection locked="0"/>
    </xf>
    <xf numFmtId="0" fontId="51" fillId="0" borderId="15" xfId="0" applyFont="1" applyBorder="1" applyAlignment="1" applyProtection="1">
      <alignment horizontal="center" vertical="center" textRotation="90" wrapText="1"/>
      <protection locked="0"/>
    </xf>
    <xf numFmtId="0" fontId="51" fillId="0" borderId="20" xfId="0" applyFont="1" applyBorder="1" applyAlignment="1" applyProtection="1">
      <alignment horizontal="center" vertical="center" textRotation="90" wrapText="1"/>
      <protection locked="0"/>
    </xf>
    <xf numFmtId="0" fontId="16" fillId="0" borderId="0" xfId="0" applyFont="1" applyAlignment="1" applyProtection="1">
      <alignment horizontal="center"/>
      <protection locked="0"/>
    </xf>
    <xf numFmtId="0" fontId="16" fillId="0" borderId="65" xfId="0" applyFont="1" applyBorder="1" applyAlignment="1" applyProtection="1">
      <alignment horizontal="center"/>
      <protection locked="0"/>
    </xf>
    <xf numFmtId="0" fontId="16" fillId="0" borderId="41" xfId="0" applyFont="1" applyBorder="1" applyAlignment="1" applyProtection="1">
      <alignment horizontal="center"/>
      <protection locked="0"/>
    </xf>
    <xf numFmtId="0" fontId="16" fillId="0" borderId="22" xfId="0" applyFont="1" applyBorder="1" applyAlignment="1" applyProtection="1">
      <alignment horizontal="center"/>
      <protection locked="0"/>
    </xf>
    <xf numFmtId="0" fontId="16" fillId="0" borderId="24"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6" xfId="0" applyFill="1" applyBorder="1" applyAlignment="1" applyProtection="1">
      <alignment horizontal="center"/>
      <protection hidden="1"/>
    </xf>
    <xf numFmtId="0" fontId="0" fillId="8" borderId="18" xfId="0" applyFill="1" applyBorder="1" applyAlignment="1" applyProtection="1">
      <alignment horizontal="center"/>
      <protection hidden="1"/>
    </xf>
    <xf numFmtId="0" fontId="26" fillId="0" borderId="0" xfId="0" applyFont="1" applyAlignment="1" applyProtection="1">
      <alignment horizontal="left" wrapText="1"/>
      <protection hidden="1"/>
    </xf>
    <xf numFmtId="0" fontId="68" fillId="11" borderId="94" xfId="1" applyFont="1" applyFill="1" applyBorder="1" applyAlignment="1" applyProtection="1">
      <alignment horizontal="center" vertical="center" wrapText="1"/>
      <protection locked="0" hidden="1"/>
    </xf>
    <xf numFmtId="0" fontId="68" fillId="11"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20" fillId="0" borderId="0" xfId="0" applyFont="1" applyAlignment="1" applyProtection="1">
      <alignment horizontal="center" vertical="center"/>
      <protection locked="0" hidden="1"/>
    </xf>
    <xf numFmtId="0" fontId="14" fillId="18" borderId="0" xfId="0" applyFont="1" applyFill="1" applyAlignment="1" applyProtection="1">
      <alignment horizontal="center" vertical="center"/>
      <protection locked="0" hidden="1"/>
    </xf>
    <xf numFmtId="0" fontId="42" fillId="23" borderId="94" xfId="1" applyFont="1" applyFill="1" applyBorder="1" applyAlignment="1" applyProtection="1">
      <alignment horizontal="center" vertical="center"/>
      <protection hidden="1"/>
    </xf>
    <xf numFmtId="0" fontId="42" fillId="23" borderId="0" xfId="1" applyFont="1" applyFill="1" applyBorder="1" applyAlignment="1" applyProtection="1">
      <alignment horizontal="center" vertical="center"/>
      <protection hidden="1"/>
    </xf>
    <xf numFmtId="0" fontId="68" fillId="11" borderId="0" xfId="1" applyFont="1" applyFill="1" applyBorder="1" applyAlignment="1" applyProtection="1">
      <alignment horizontal="center" vertical="center"/>
      <protection hidden="1"/>
    </xf>
    <xf numFmtId="0" fontId="11" fillId="25" borderId="0" xfId="0" applyFont="1" applyFill="1" applyAlignment="1" applyProtection="1">
      <alignment horizontal="center" vertical="center" textRotation="90"/>
      <protection hidden="1"/>
    </xf>
    <xf numFmtId="164" fontId="67" fillId="18" borderId="0" xfId="0" applyNumberFormat="1" applyFont="1" applyFill="1" applyAlignment="1" applyProtection="1">
      <alignment horizontal="center" vertical="center"/>
      <protection locked="0" hidden="1"/>
    </xf>
    <xf numFmtId="164" fontId="22" fillId="5" borderId="0" xfId="0" applyNumberFormat="1" applyFont="1" applyFill="1" applyAlignment="1" applyProtection="1">
      <alignment horizontal="center" vertical="center" textRotation="90"/>
      <protection locked="0" hidden="1"/>
    </xf>
    <xf numFmtId="0" fontId="20" fillId="18" borderId="90" xfId="0" applyFont="1" applyFill="1" applyBorder="1" applyAlignment="1" applyProtection="1">
      <alignment horizontal="center" vertical="center"/>
      <protection hidden="1"/>
    </xf>
    <xf numFmtId="0" fontId="20" fillId="18" borderId="96" xfId="0" applyFont="1" applyFill="1" applyBorder="1" applyAlignment="1" applyProtection="1">
      <alignment horizontal="center" vertical="center"/>
      <protection hidden="1"/>
    </xf>
    <xf numFmtId="0" fontId="20" fillId="7" borderId="90" xfId="0" applyFont="1" applyFill="1" applyBorder="1" applyAlignment="1" applyProtection="1">
      <alignment horizontal="center" vertical="center"/>
      <protection locked="0" hidden="1"/>
    </xf>
    <xf numFmtId="0" fontId="20" fillId="7" borderId="96" xfId="0" applyFont="1" applyFill="1" applyBorder="1" applyAlignment="1" applyProtection="1">
      <alignment horizontal="center" vertical="center"/>
      <protection locked="0" hidden="1"/>
    </xf>
    <xf numFmtId="0" fontId="20" fillId="12" borderId="90" xfId="0" applyFont="1" applyFill="1" applyBorder="1" applyAlignment="1" applyProtection="1">
      <alignment horizontal="center" vertical="center"/>
      <protection locked="0" hidden="1"/>
    </xf>
    <xf numFmtId="0" fontId="20" fillId="12" borderId="105" xfId="0" applyFont="1" applyFill="1" applyBorder="1" applyAlignment="1" applyProtection="1">
      <alignment horizontal="center" vertical="center"/>
      <protection locked="0" hidden="1"/>
    </xf>
    <xf numFmtId="0" fontId="20" fillId="18" borderId="105" xfId="0" applyFont="1" applyFill="1" applyBorder="1" applyAlignment="1" applyProtection="1">
      <alignment horizontal="center" vertical="center"/>
      <protection hidden="1"/>
    </xf>
    <xf numFmtId="0" fontId="65" fillId="23" borderId="75" xfId="7" applyFont="1" applyFill="1" applyBorder="1" applyAlignment="1" applyProtection="1">
      <alignment horizontal="center" vertical="center"/>
      <protection hidden="1"/>
    </xf>
    <xf numFmtId="0" fontId="27" fillId="0" borderId="0" xfId="0" applyFont="1" applyAlignment="1" applyProtection="1">
      <alignment horizontal="center" vertical="center" wrapText="1"/>
      <protection hidden="1"/>
    </xf>
    <xf numFmtId="0" fontId="27" fillId="0" borderId="17" xfId="0" applyFont="1" applyBorder="1" applyAlignment="1" applyProtection="1">
      <alignment horizontal="center" vertical="center" wrapText="1"/>
      <protection hidden="1"/>
    </xf>
    <xf numFmtId="0" fontId="35" fillId="23" borderId="102" xfId="0" applyFont="1" applyFill="1" applyBorder="1" applyAlignment="1" applyProtection="1">
      <alignment horizontal="left" vertical="center"/>
      <protection hidden="1"/>
    </xf>
    <xf numFmtId="0" fontId="35" fillId="23" borderId="103" xfId="0" applyFont="1" applyFill="1" applyBorder="1" applyAlignment="1" applyProtection="1">
      <alignment horizontal="left" vertical="center"/>
      <protection hidden="1"/>
    </xf>
    <xf numFmtId="0" fontId="15" fillId="18" borderId="0" xfId="0" applyFont="1" applyFill="1" applyAlignment="1" applyProtection="1">
      <alignment horizontal="center" vertical="center"/>
      <protection hidden="1"/>
    </xf>
    <xf numFmtId="0" fontId="15" fillId="0" borderId="0" xfId="0" applyFont="1" applyAlignment="1" applyProtection="1">
      <alignment horizontal="left" vertical="center"/>
      <protection hidden="1"/>
    </xf>
    <xf numFmtId="164" fontId="67" fillId="18" borderId="0" xfId="0" applyNumberFormat="1" applyFont="1" applyFill="1" applyAlignment="1" applyProtection="1">
      <alignment horizontal="center" vertical="center" textRotation="90"/>
      <protection locked="0" hidden="1"/>
    </xf>
    <xf numFmtId="0" fontId="54" fillId="6" borderId="0" xfId="0" applyFont="1" applyFill="1" applyAlignment="1" applyProtection="1">
      <alignment horizontal="left" vertical="center" wrapText="1"/>
      <protection hidden="1"/>
    </xf>
    <xf numFmtId="0" fontId="20" fillId="7" borderId="97" xfId="0" applyFont="1" applyFill="1" applyBorder="1" applyAlignment="1" applyProtection="1">
      <alignment horizontal="center" vertical="center" wrapText="1"/>
      <protection locked="0" hidden="1"/>
    </xf>
    <xf numFmtId="0" fontId="20" fillId="7" borderId="104" xfId="0" applyFont="1" applyFill="1" applyBorder="1" applyAlignment="1" applyProtection="1">
      <alignment horizontal="center" vertical="center" wrapText="1"/>
      <protection locked="0" hidden="1"/>
    </xf>
    <xf numFmtId="164" fontId="69" fillId="18" borderId="0" xfId="0" applyNumberFormat="1" applyFont="1" applyFill="1" applyAlignment="1" applyProtection="1">
      <alignment horizontal="center" vertical="center"/>
      <protection locked="0" hidden="1"/>
    </xf>
    <xf numFmtId="164" fontId="67" fillId="18" borderId="0" xfId="0" applyNumberFormat="1" applyFont="1" applyFill="1" applyAlignment="1" applyProtection="1">
      <alignment horizontal="center" vertical="center" textRotation="180"/>
      <protection locked="0" hidden="1"/>
    </xf>
    <xf numFmtId="0" fontId="20" fillId="12" borderId="96" xfId="0" applyFont="1" applyFill="1" applyBorder="1" applyAlignment="1" applyProtection="1">
      <alignment horizontal="center" vertical="center"/>
      <protection locked="0" hidden="1"/>
    </xf>
    <xf numFmtId="0" fontId="35" fillId="23" borderId="91" xfId="0" applyFont="1" applyFill="1" applyBorder="1" applyAlignment="1" applyProtection="1">
      <alignment horizontal="right" vertical="center"/>
      <protection hidden="1"/>
    </xf>
    <xf numFmtId="0" fontId="35" fillId="23" borderId="90" xfId="0" applyFont="1" applyFill="1" applyBorder="1" applyAlignment="1" applyProtection="1">
      <alignment horizontal="right" vertical="center"/>
      <protection hidden="1"/>
    </xf>
    <xf numFmtId="0" fontId="15" fillId="18" borderId="0" xfId="0" applyFont="1" applyFill="1" applyAlignment="1" applyProtection="1">
      <alignment horizontal="center" vertical="center" textRotation="180"/>
      <protection hidden="1"/>
    </xf>
    <xf numFmtId="0" fontId="54" fillId="18" borderId="72" xfId="0" applyFont="1" applyFill="1" applyBorder="1" applyAlignment="1" applyProtection="1">
      <alignment horizontal="left" vertical="center" wrapText="1"/>
      <protection hidden="1"/>
    </xf>
    <xf numFmtId="0" fontId="54" fillId="18" borderId="0" xfId="0" applyFont="1" applyFill="1" applyAlignment="1" applyProtection="1">
      <alignment horizontal="left" vertical="center" wrapText="1"/>
      <protection hidden="1"/>
    </xf>
    <xf numFmtId="0" fontId="54" fillId="18" borderId="64" xfId="0" applyFont="1" applyFill="1" applyBorder="1" applyAlignment="1" applyProtection="1">
      <alignment horizontal="left" vertical="center" wrapText="1"/>
      <protection hidden="1"/>
    </xf>
    <xf numFmtId="0" fontId="54" fillId="18" borderId="73" xfId="0" applyFont="1" applyFill="1" applyBorder="1" applyAlignment="1" applyProtection="1">
      <alignment horizontal="left" vertical="center" wrapText="1"/>
      <protection hidden="1"/>
    </xf>
    <xf numFmtId="0" fontId="54" fillId="18" borderId="55" xfId="0" applyFont="1" applyFill="1" applyBorder="1" applyAlignment="1" applyProtection="1">
      <alignment horizontal="left" vertical="center" wrapText="1"/>
      <protection hidden="1"/>
    </xf>
    <xf numFmtId="0" fontId="54" fillId="18" borderId="74" xfId="0" applyFont="1" applyFill="1" applyBorder="1" applyAlignment="1" applyProtection="1">
      <alignment horizontal="left" vertical="center" wrapText="1"/>
      <protection hidden="1"/>
    </xf>
    <xf numFmtId="0" fontId="54" fillId="18" borderId="69" xfId="0" applyFont="1" applyFill="1" applyBorder="1" applyAlignment="1" applyProtection="1">
      <alignment horizontal="left" vertical="center" wrapText="1"/>
      <protection hidden="1"/>
    </xf>
    <xf numFmtId="0" fontId="54" fillId="18" borderId="70" xfId="0" applyFont="1" applyFill="1" applyBorder="1" applyAlignment="1" applyProtection="1">
      <alignment horizontal="left" vertical="center" wrapText="1"/>
      <protection hidden="1"/>
    </xf>
    <xf numFmtId="0" fontId="54" fillId="18" borderId="71" xfId="0" applyFont="1" applyFill="1" applyBorder="1" applyAlignment="1" applyProtection="1">
      <alignment horizontal="left" vertical="center" wrapText="1"/>
      <protection hidden="1"/>
    </xf>
    <xf numFmtId="164" fontId="22" fillId="24" borderId="99" xfId="0" applyNumberFormat="1" applyFont="1" applyFill="1" applyBorder="1" applyAlignment="1" applyProtection="1">
      <alignment horizontal="center" vertical="center"/>
      <protection locked="0" hidden="1"/>
    </xf>
    <xf numFmtId="164" fontId="22" fillId="24" borderId="100" xfId="0" applyNumberFormat="1" applyFont="1" applyFill="1" applyBorder="1" applyAlignment="1" applyProtection="1">
      <alignment horizontal="center" vertical="center"/>
      <protection locked="0" hidden="1"/>
    </xf>
    <xf numFmtId="0" fontId="0" fillId="7" borderId="90" xfId="0" applyFill="1" applyBorder="1" applyAlignment="1" applyProtection="1">
      <alignment horizontal="center" vertical="center"/>
      <protection locked="0" hidden="1"/>
    </xf>
    <xf numFmtId="0" fontId="0" fillId="7" borderId="96" xfId="0" applyFill="1" applyBorder="1" applyAlignment="1" applyProtection="1">
      <alignment horizontal="center" vertical="center"/>
      <protection locked="0" hidden="1"/>
    </xf>
    <xf numFmtId="0" fontId="71" fillId="23" borderId="90" xfId="0" applyFont="1" applyFill="1" applyBorder="1" applyAlignment="1" applyProtection="1">
      <alignment horizontal="center" vertical="center"/>
      <protection hidden="1"/>
    </xf>
    <xf numFmtId="0" fontId="20" fillId="0" borderId="0" xfId="0" applyFont="1" applyAlignment="1" applyProtection="1">
      <alignment horizontal="left" vertical="center"/>
      <protection hidden="1"/>
    </xf>
    <xf numFmtId="0" fontId="20" fillId="24" borderId="90" xfId="0" applyFont="1" applyFill="1" applyBorder="1" applyAlignment="1" applyProtection="1">
      <alignment horizontal="center" vertical="center"/>
      <protection locked="0" hidden="1"/>
    </xf>
    <xf numFmtId="0" fontId="20" fillId="24" borderId="96" xfId="0" applyFont="1" applyFill="1" applyBorder="1" applyAlignment="1" applyProtection="1">
      <alignment horizontal="center" vertical="center"/>
      <protection locked="0" hidden="1"/>
    </xf>
    <xf numFmtId="0" fontId="34" fillId="7" borderId="90" xfId="0" applyFont="1" applyFill="1" applyBorder="1" applyAlignment="1" applyProtection="1">
      <alignment horizontal="center" vertical="center"/>
      <protection locked="0" hidden="1"/>
    </xf>
    <xf numFmtId="0" fontId="35" fillId="23" borderId="91" xfId="0" applyFont="1" applyFill="1" applyBorder="1" applyAlignment="1" applyProtection="1">
      <alignment horizontal="center" vertical="center"/>
      <protection hidden="1"/>
    </xf>
    <xf numFmtId="0" fontId="35" fillId="23" borderId="90" xfId="0" applyFont="1" applyFill="1" applyBorder="1" applyAlignment="1" applyProtection="1">
      <alignment horizontal="center" vertical="center"/>
      <protection hidden="1"/>
    </xf>
    <xf numFmtId="0" fontId="35" fillId="11" borderId="91" xfId="0" applyFont="1" applyFill="1" applyBorder="1" applyAlignment="1" applyProtection="1">
      <alignment horizontal="left" vertical="center"/>
      <protection hidden="1"/>
    </xf>
    <xf numFmtId="0" fontId="35" fillId="11" borderId="90" xfId="0" applyFont="1" applyFill="1" applyBorder="1" applyAlignment="1" applyProtection="1">
      <alignment horizontal="left" vertical="center"/>
      <protection hidden="1"/>
    </xf>
    <xf numFmtId="0" fontId="70" fillId="26" borderId="101" xfId="0" applyFont="1" applyFill="1" applyBorder="1" applyAlignment="1" applyProtection="1">
      <alignment horizontal="center" vertical="center"/>
      <protection hidden="1"/>
    </xf>
    <xf numFmtId="0" fontId="70" fillId="26" borderId="99" xfId="0" applyFont="1" applyFill="1" applyBorder="1" applyAlignment="1" applyProtection="1">
      <alignment horizontal="center" vertical="center"/>
      <protection hidden="1"/>
    </xf>
    <xf numFmtId="0" fontId="54" fillId="0" borderId="11" xfId="0" applyFont="1" applyBorder="1" applyAlignment="1">
      <alignment horizontal="center"/>
    </xf>
    <xf numFmtId="0" fontId="54" fillId="0" borderId="14" xfId="0" applyFont="1" applyBorder="1" applyAlignment="1">
      <alignment horizontal="center"/>
    </xf>
    <xf numFmtId="164" fontId="22" fillId="5" borderId="0" xfId="0" applyNumberFormat="1" applyFont="1" applyFill="1" applyAlignment="1" applyProtection="1">
      <alignment horizontal="center" vertical="center"/>
      <protection locked="0" hidden="1"/>
    </xf>
    <xf numFmtId="2" fontId="66" fillId="7" borderId="0" xfId="0" applyNumberFormat="1" applyFont="1" applyFill="1" applyAlignment="1" applyProtection="1">
      <alignment horizontal="right" vertical="center"/>
      <protection hidden="1"/>
    </xf>
    <xf numFmtId="2" fontId="66" fillId="7" borderId="9" xfId="0" applyNumberFormat="1" applyFont="1" applyFill="1" applyBorder="1" applyAlignment="1" applyProtection="1">
      <alignment horizontal="right" vertical="center"/>
      <protection hidden="1"/>
    </xf>
    <xf numFmtId="164" fontId="20" fillId="7" borderId="90" xfId="0" applyNumberFormat="1" applyFont="1" applyFill="1" applyBorder="1" applyAlignment="1" applyProtection="1">
      <alignment horizontal="center" vertical="center"/>
      <protection locked="0" hidden="1"/>
    </xf>
    <xf numFmtId="164" fontId="20" fillId="7" borderId="96" xfId="0" applyNumberFormat="1" applyFont="1" applyFill="1" applyBorder="1" applyAlignment="1" applyProtection="1">
      <alignment horizontal="center" vertical="center"/>
      <protection locked="0" hidden="1"/>
    </xf>
    <xf numFmtId="0" fontId="11" fillId="25" borderId="0" xfId="0" applyFont="1" applyFill="1" applyAlignment="1" applyProtection="1">
      <alignment horizontal="center" vertical="center"/>
      <protection hidden="1"/>
    </xf>
    <xf numFmtId="0" fontId="0" fillId="24" borderId="19" xfId="0" applyFill="1" applyBorder="1" applyAlignment="1" applyProtection="1">
      <alignment horizontal="center" vertical="center"/>
      <protection hidden="1"/>
    </xf>
    <xf numFmtId="0" fontId="15" fillId="0" borderId="0" xfId="0" applyFont="1" applyAlignment="1" applyProtection="1">
      <alignment horizontal="right" vertical="center" textRotation="90" wrapText="1"/>
      <protection hidden="1"/>
    </xf>
    <xf numFmtId="0" fontId="15" fillId="18" borderId="0" xfId="0" applyFont="1" applyFill="1" applyAlignment="1" applyProtection="1">
      <alignment horizontal="center" vertical="center" textRotation="90"/>
      <protection hidden="1"/>
    </xf>
    <xf numFmtId="0" fontId="44" fillId="0" borderId="96" xfId="0" applyFont="1" applyBorder="1" applyAlignment="1" applyProtection="1">
      <alignment horizontal="center" vertical="center"/>
      <protection hidden="1"/>
    </xf>
    <xf numFmtId="0" fontId="15" fillId="0" borderId="0" xfId="0" applyFont="1" applyAlignment="1" applyProtection="1">
      <alignment horizontal="left" vertical="center" textRotation="180" wrapText="1"/>
      <protection hidden="1"/>
    </xf>
    <xf numFmtId="0" fontId="72" fillId="0" borderId="0" xfId="0" applyFont="1" applyAlignment="1" applyProtection="1">
      <alignment horizontal="center" vertical="center" wrapText="1"/>
      <protection hidden="1"/>
    </xf>
    <xf numFmtId="0" fontId="0" fillId="0" borderId="69" xfId="0" applyBorder="1" applyAlignment="1" applyProtection="1">
      <alignment horizontal="center" vertical="center" wrapText="1"/>
      <protection locked="0"/>
    </xf>
    <xf numFmtId="0" fontId="0" fillId="0" borderId="70" xfId="0" applyBorder="1" applyAlignment="1" applyProtection="1">
      <alignment horizontal="center" vertical="center" wrapText="1"/>
      <protection locked="0"/>
    </xf>
    <xf numFmtId="0" fontId="0" fillId="0" borderId="71" xfId="0" applyBorder="1" applyAlignment="1" applyProtection="1">
      <alignment horizontal="center" vertical="center" wrapText="1"/>
      <protection locked="0"/>
    </xf>
    <xf numFmtId="0" fontId="0" fillId="0" borderId="72"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0" fillId="0" borderId="73" xfId="0" applyBorder="1" applyAlignment="1" applyProtection="1">
      <alignment horizontal="center" vertical="center" wrapText="1"/>
      <protection locked="0"/>
    </xf>
    <xf numFmtId="0" fontId="0" fillId="0" borderId="55" xfId="0" applyBorder="1" applyAlignment="1" applyProtection="1">
      <alignment horizontal="center" vertical="center" wrapText="1"/>
      <protection locked="0"/>
    </xf>
    <xf numFmtId="0" fontId="0" fillId="0" borderId="74" xfId="0" applyBorder="1" applyAlignment="1" applyProtection="1">
      <alignment horizontal="center" vertical="center" wrapText="1"/>
      <protection locked="0"/>
    </xf>
    <xf numFmtId="2" fontId="66" fillId="7" borderId="0" xfId="0" applyNumberFormat="1" applyFont="1" applyFill="1" applyAlignment="1" applyProtection="1">
      <alignment horizontal="left" vertical="center"/>
      <protection hidden="1"/>
    </xf>
    <xf numFmtId="2" fontId="66" fillId="7" borderId="8" xfId="0" applyNumberFormat="1" applyFont="1" applyFill="1" applyBorder="1" applyAlignment="1" applyProtection="1">
      <alignment horizontal="left" vertical="center"/>
      <protection hidden="1"/>
    </xf>
    <xf numFmtId="2" fontId="66" fillId="7" borderId="9" xfId="0" applyNumberFormat="1" applyFont="1" applyFill="1" applyBorder="1" applyAlignment="1" applyProtection="1">
      <alignment horizontal="left" vertical="center"/>
      <protection hidden="1"/>
    </xf>
    <xf numFmtId="2" fontId="66" fillId="7" borderId="21" xfId="0" applyNumberFormat="1" applyFont="1" applyFill="1" applyBorder="1" applyAlignment="1" applyProtection="1">
      <alignment horizontal="left" vertical="center"/>
      <protection hidden="1"/>
    </xf>
    <xf numFmtId="0" fontId="35" fillId="23" borderId="15" xfId="0" applyFont="1" applyFill="1" applyBorder="1" applyAlignment="1" applyProtection="1">
      <alignment horizontal="right" vertical="center" indent="1"/>
      <protection hidden="1"/>
    </xf>
    <xf numFmtId="0" fontId="35" fillId="23" borderId="0" xfId="0" applyFont="1" applyFill="1" applyAlignment="1" applyProtection="1">
      <alignment horizontal="right" vertical="center" indent="1"/>
      <protection hidden="1"/>
    </xf>
    <xf numFmtId="0" fontId="35" fillId="23" borderId="20" xfId="0" applyFont="1" applyFill="1" applyBorder="1" applyAlignment="1" applyProtection="1">
      <alignment horizontal="right" vertical="center" indent="1"/>
      <protection hidden="1"/>
    </xf>
    <xf numFmtId="0" fontId="35" fillId="23" borderId="9" xfId="0" applyFont="1" applyFill="1" applyBorder="1" applyAlignment="1" applyProtection="1">
      <alignment horizontal="right" vertical="center" indent="1"/>
      <protection hidden="1"/>
    </xf>
    <xf numFmtId="0" fontId="22" fillId="26" borderId="91" xfId="0" applyFont="1" applyFill="1" applyBorder="1" applyAlignment="1" applyProtection="1">
      <alignment horizontal="right" vertical="center"/>
      <protection hidden="1"/>
    </xf>
    <xf numFmtId="0" fontId="22" fillId="26" borderId="90" xfId="0" applyFont="1" applyFill="1" applyBorder="1" applyAlignment="1" applyProtection="1">
      <alignment horizontal="right" vertical="center"/>
      <protection hidden="1"/>
    </xf>
    <xf numFmtId="0" fontId="0" fillId="5" borderId="9" xfId="0" applyFill="1" applyBorder="1" applyAlignment="1" applyProtection="1">
      <alignment horizontal="center" vertical="center"/>
      <protection hidden="1"/>
    </xf>
    <xf numFmtId="0" fontId="35" fillId="11" borderId="91" xfId="0" applyFont="1" applyFill="1" applyBorder="1" applyAlignment="1" applyProtection="1">
      <alignment horizontal="right" vertical="center"/>
      <protection hidden="1"/>
    </xf>
    <xf numFmtId="0" fontId="35" fillId="11" borderId="90" xfId="0" applyFont="1" applyFill="1" applyBorder="1" applyAlignment="1" applyProtection="1">
      <alignment horizontal="right" vertical="center"/>
      <protection hidden="1"/>
    </xf>
    <xf numFmtId="0" fontId="33" fillId="0" borderId="0" xfId="0" applyFont="1" applyAlignment="1" applyProtection="1">
      <alignment horizontal="center" vertical="center"/>
      <protection locked="0" hidden="1"/>
    </xf>
    <xf numFmtId="0" fontId="20" fillId="18" borderId="99" xfId="0" applyFont="1" applyFill="1" applyBorder="1" applyAlignment="1" applyProtection="1">
      <alignment horizontal="center" vertical="center"/>
      <protection locked="0" hidden="1"/>
    </xf>
    <xf numFmtId="0" fontId="20" fillId="18" borderId="100" xfId="0" applyFont="1" applyFill="1" applyBorder="1" applyAlignment="1" applyProtection="1">
      <alignment horizontal="center" vertical="center"/>
      <protection locked="0" hidden="1"/>
    </xf>
    <xf numFmtId="44" fontId="20" fillId="18" borderId="99" xfId="21" applyFont="1" applyFill="1" applyBorder="1" applyAlignment="1" applyProtection="1">
      <alignment horizontal="right" vertical="center"/>
      <protection locked="0" hidden="1"/>
    </xf>
    <xf numFmtId="0" fontId="42" fillId="11" borderId="94" xfId="1" applyFont="1" applyFill="1" applyBorder="1" applyAlignment="1" applyProtection="1">
      <alignment horizontal="center" vertical="center"/>
      <protection locked="0" hidden="1"/>
    </xf>
    <xf numFmtId="0" fontId="42" fillId="11" borderId="0" xfId="1" applyFont="1" applyFill="1" applyBorder="1" applyAlignment="1" applyProtection="1">
      <alignment horizontal="center" vertical="center"/>
      <protection locked="0" hidden="1"/>
    </xf>
    <xf numFmtId="0" fontId="45" fillId="0" borderId="0" xfId="8" applyFont="1" applyAlignment="1" applyProtection="1">
      <alignment horizontal="left" wrapText="1" indent="1"/>
      <protection hidden="1"/>
    </xf>
    <xf numFmtId="0" fontId="13" fillId="18" borderId="0" xfId="7" applyFill="1" applyAlignment="1" applyProtection="1">
      <alignment horizontal="center"/>
      <protection hidden="1"/>
    </xf>
    <xf numFmtId="0" fontId="37" fillId="12" borderId="75" xfId="7" applyFont="1" applyFill="1" applyBorder="1" applyAlignment="1" applyProtection="1">
      <alignment horizontal="center" vertical="center"/>
      <protection locked="0" hidden="1"/>
    </xf>
    <xf numFmtId="0" fontId="15" fillId="0" borderId="0" xfId="0" applyFont="1" applyAlignment="1" applyProtection="1">
      <alignment horizontal="left" vertical="top" textRotation="180"/>
      <protection hidden="1"/>
    </xf>
    <xf numFmtId="0" fontId="0" fillId="12" borderId="84" xfId="0" applyFill="1" applyBorder="1" applyAlignment="1" applyProtection="1">
      <alignment horizontal="center"/>
      <protection locked="0" hidden="1"/>
    </xf>
    <xf numFmtId="164" fontId="67" fillId="18" borderId="0" xfId="0" applyNumberFormat="1" applyFont="1" applyFill="1" applyAlignment="1" applyProtection="1">
      <alignment horizontal="center" textRotation="90"/>
      <protection locked="0" hidden="1"/>
    </xf>
    <xf numFmtId="0" fontId="0" fillId="12" borderId="84" xfId="0" applyFill="1" applyBorder="1" applyAlignment="1" applyProtection="1">
      <alignment horizontal="center"/>
      <protection hidden="1"/>
    </xf>
    <xf numFmtId="0" fontId="15" fillId="0" borderId="0" xfId="0" applyFont="1" applyAlignment="1" applyProtection="1">
      <alignment horizontal="left"/>
      <protection hidden="1"/>
    </xf>
    <xf numFmtId="164" fontId="69" fillId="18" borderId="0" xfId="0" applyNumberFormat="1" applyFont="1" applyFill="1" applyAlignment="1" applyProtection="1">
      <alignment horizontal="center"/>
      <protection locked="0" hidden="1"/>
    </xf>
    <xf numFmtId="0" fontId="15" fillId="18" borderId="0" xfId="0" applyFont="1" applyFill="1" applyAlignment="1" applyProtection="1">
      <alignment horizontal="center"/>
      <protection hidden="1"/>
    </xf>
    <xf numFmtId="0" fontId="8" fillId="26" borderId="106" xfId="0" applyFont="1" applyFill="1" applyBorder="1" applyAlignment="1" applyProtection="1">
      <alignment horizontal="center" vertical="center"/>
      <protection hidden="1"/>
    </xf>
    <xf numFmtId="164" fontId="22" fillId="24" borderId="70" xfId="0" applyNumberFormat="1" applyFont="1" applyFill="1" applyBorder="1" applyAlignment="1" applyProtection="1">
      <alignment horizontal="center" vertical="center"/>
      <protection locked="0" hidden="1"/>
    </xf>
    <xf numFmtId="0" fontId="75" fillId="0" borderId="106" xfId="0" applyFont="1" applyBorder="1" applyAlignment="1" applyProtection="1">
      <alignment horizontal="center"/>
      <protection hidden="1"/>
    </xf>
    <xf numFmtId="0" fontId="11" fillId="11" borderId="55" xfId="0" applyFont="1" applyFill="1" applyBorder="1" applyAlignment="1" applyProtection="1">
      <alignment horizontal="left" indent="1"/>
      <protection hidden="1"/>
    </xf>
    <xf numFmtId="0" fontId="11" fillId="11" borderId="55" xfId="0" applyFont="1" applyFill="1" applyBorder="1" applyAlignment="1" applyProtection="1">
      <alignment horizontal="left" vertical="center"/>
      <protection hidden="1"/>
    </xf>
    <xf numFmtId="0" fontId="0" fillId="12" borderId="55" xfId="0" applyFill="1" applyBorder="1" applyAlignment="1" applyProtection="1">
      <alignment horizontal="center"/>
      <protection locked="0" hidden="1"/>
    </xf>
    <xf numFmtId="0" fontId="15" fillId="12" borderId="84" xfId="0" applyFont="1" applyFill="1" applyBorder="1" applyAlignment="1" applyProtection="1">
      <alignment horizontal="center"/>
      <protection locked="0" hidden="1"/>
    </xf>
    <xf numFmtId="0" fontId="11" fillId="12" borderId="0" xfId="0" applyFont="1" applyFill="1" applyAlignment="1" applyProtection="1">
      <alignment horizontal="center" vertical="center" textRotation="90"/>
      <protection hidden="1"/>
    </xf>
    <xf numFmtId="0" fontId="15" fillId="18" borderId="106" xfId="0" applyFont="1" applyFill="1" applyBorder="1" applyAlignment="1" applyProtection="1">
      <alignment horizontal="center"/>
      <protection hidden="1"/>
    </xf>
    <xf numFmtId="0" fontId="0" fillId="0" borderId="106" xfId="0" applyBorder="1" applyAlignment="1" applyProtection="1">
      <alignment horizontal="center"/>
      <protection hidden="1"/>
    </xf>
    <xf numFmtId="164" fontId="67" fillId="18" borderId="0" xfId="0" applyNumberFormat="1" applyFont="1" applyFill="1" applyAlignment="1" applyProtection="1">
      <alignment horizontal="center"/>
      <protection locked="0" hidden="1"/>
    </xf>
    <xf numFmtId="0" fontId="15" fillId="0" borderId="0" xfId="0" applyFont="1" applyAlignment="1" applyProtection="1">
      <alignment horizontal="right" textRotation="90"/>
      <protection hidden="1"/>
    </xf>
    <xf numFmtId="0" fontId="0" fillId="26" borderId="106" xfId="0" applyFill="1" applyBorder="1" applyAlignment="1" applyProtection="1">
      <alignment horizontal="center"/>
      <protection hidden="1"/>
    </xf>
    <xf numFmtId="0" fontId="0" fillId="24" borderId="106" xfId="0" applyFill="1" applyBorder="1" applyAlignment="1" applyProtection="1">
      <alignment horizontal="center"/>
      <protection locked="0" hidden="1"/>
    </xf>
    <xf numFmtId="164" fontId="67" fillId="18" borderId="0" xfId="0" applyNumberFormat="1" applyFont="1" applyFill="1" applyAlignment="1" applyProtection="1">
      <alignment horizontal="center" vertical="top" textRotation="180"/>
      <protection locked="0" hidden="1"/>
    </xf>
    <xf numFmtId="0" fontId="32" fillId="18" borderId="69" xfId="0" applyFont="1" applyFill="1" applyBorder="1" applyAlignment="1" applyProtection="1">
      <alignment horizontal="center" vertical="center" wrapText="1"/>
      <protection hidden="1"/>
    </xf>
    <xf numFmtId="0" fontId="32" fillId="18" borderId="70" xfId="0" applyFont="1" applyFill="1" applyBorder="1" applyAlignment="1" applyProtection="1">
      <alignment horizontal="center" vertical="center" wrapText="1"/>
      <protection hidden="1"/>
    </xf>
    <xf numFmtId="0" fontId="32" fillId="18" borderId="71" xfId="0" applyFont="1" applyFill="1" applyBorder="1" applyAlignment="1" applyProtection="1">
      <alignment horizontal="center" vertical="center" wrapText="1"/>
      <protection hidden="1"/>
    </xf>
    <xf numFmtId="0" fontId="32" fillId="18" borderId="72" xfId="0" applyFont="1" applyFill="1" applyBorder="1" applyAlignment="1" applyProtection="1">
      <alignment horizontal="center" vertical="center" wrapText="1"/>
      <protection hidden="1"/>
    </xf>
    <xf numFmtId="0" fontId="32" fillId="18" borderId="0" xfId="0" applyFont="1" applyFill="1" applyAlignment="1" applyProtection="1">
      <alignment horizontal="center" vertical="center" wrapText="1"/>
      <protection hidden="1"/>
    </xf>
    <xf numFmtId="0" fontId="32" fillId="18" borderId="64" xfId="0" applyFont="1" applyFill="1" applyBorder="1" applyAlignment="1" applyProtection="1">
      <alignment horizontal="center" vertical="center" wrapText="1"/>
      <protection hidden="1"/>
    </xf>
    <xf numFmtId="0" fontId="32" fillId="18" borderId="73" xfId="0" applyFont="1" applyFill="1" applyBorder="1" applyAlignment="1" applyProtection="1">
      <alignment horizontal="center" vertical="center" wrapText="1"/>
      <protection hidden="1"/>
    </xf>
    <xf numFmtId="0" fontId="32" fillId="18" borderId="55" xfId="0" applyFont="1" applyFill="1" applyBorder="1" applyAlignment="1" applyProtection="1">
      <alignment horizontal="center" vertical="center" wrapText="1"/>
      <protection hidden="1"/>
    </xf>
    <xf numFmtId="0" fontId="32" fillId="18" borderId="74" xfId="0" applyFont="1" applyFill="1" applyBorder="1" applyAlignment="1" applyProtection="1">
      <alignment horizontal="center" vertical="center" wrapText="1"/>
      <protection hidden="1"/>
    </xf>
    <xf numFmtId="0" fontId="0" fillId="12" borderId="84" xfId="0" applyFill="1" applyBorder="1" applyAlignment="1" applyProtection="1">
      <alignment horizontal="center" vertical="center"/>
      <protection locked="0" hidden="1"/>
    </xf>
    <xf numFmtId="0" fontId="0" fillId="12" borderId="55" xfId="0" applyFill="1" applyBorder="1" applyAlignment="1" applyProtection="1">
      <alignment horizontal="right"/>
      <protection hidden="1"/>
    </xf>
    <xf numFmtId="0" fontId="11" fillId="12" borderId="0" xfId="0" applyFont="1" applyFill="1" applyAlignment="1" applyProtection="1">
      <alignment horizontal="center" vertical="center"/>
      <protection hidden="1"/>
    </xf>
    <xf numFmtId="0" fontId="52" fillId="11" borderId="83" xfId="0" applyFont="1" applyFill="1" applyBorder="1" applyAlignment="1" applyProtection="1">
      <alignment horizontal="right" vertical="center" indent="3"/>
      <protection hidden="1"/>
    </xf>
    <xf numFmtId="0" fontId="33" fillId="12" borderId="83" xfId="0" applyFont="1" applyFill="1" applyBorder="1" applyAlignment="1" applyProtection="1">
      <alignment horizontal="center" vertical="center"/>
      <protection hidden="1"/>
    </xf>
    <xf numFmtId="0" fontId="34" fillId="0" borderId="0" xfId="0" applyFont="1" applyAlignment="1" applyProtection="1">
      <alignment horizontal="left"/>
      <protection hidden="1"/>
    </xf>
    <xf numFmtId="0" fontId="74" fillId="11" borderId="94" xfId="1" applyFont="1" applyFill="1" applyBorder="1" applyAlignment="1" applyProtection="1">
      <alignment horizontal="center" vertical="center"/>
      <protection locked="0" hidden="1"/>
    </xf>
    <xf numFmtId="0" fontId="74" fillId="11" borderId="0" xfId="1" applyFont="1" applyFill="1" applyBorder="1" applyAlignment="1" applyProtection="1">
      <alignment horizontal="center" vertical="center"/>
      <protection locked="0" hidden="1"/>
    </xf>
    <xf numFmtId="0" fontId="15" fillId="0" borderId="70" xfId="0" applyFont="1" applyBorder="1" applyAlignment="1" applyProtection="1">
      <alignment horizontal="center"/>
      <protection hidden="1"/>
    </xf>
    <xf numFmtId="0" fontId="32" fillId="6" borderId="69" xfId="0" applyFont="1" applyFill="1" applyBorder="1" applyAlignment="1" applyProtection="1">
      <alignment horizontal="center" vertical="center" wrapText="1"/>
      <protection locked="0" hidden="1"/>
    </xf>
    <xf numFmtId="0" fontId="32" fillId="6" borderId="70" xfId="0" applyFont="1" applyFill="1" applyBorder="1" applyAlignment="1" applyProtection="1">
      <alignment horizontal="center" vertical="center" wrapText="1"/>
      <protection locked="0" hidden="1"/>
    </xf>
    <xf numFmtId="0" fontId="32" fillId="6" borderId="71" xfId="0" applyFont="1" applyFill="1" applyBorder="1" applyAlignment="1" applyProtection="1">
      <alignment horizontal="center" vertical="center" wrapText="1"/>
      <protection locked="0" hidden="1"/>
    </xf>
    <xf numFmtId="0" fontId="32" fillId="6" borderId="72" xfId="0" applyFont="1" applyFill="1" applyBorder="1" applyAlignment="1" applyProtection="1">
      <alignment horizontal="center" vertical="center" wrapText="1"/>
      <protection locked="0" hidden="1"/>
    </xf>
    <xf numFmtId="0" fontId="32" fillId="6" borderId="0" xfId="0" applyFont="1" applyFill="1" applyAlignment="1" applyProtection="1">
      <alignment horizontal="center" vertical="center" wrapText="1"/>
      <protection locked="0" hidden="1"/>
    </xf>
    <xf numFmtId="0" fontId="32" fillId="6" borderId="64" xfId="0" applyFont="1" applyFill="1" applyBorder="1" applyAlignment="1" applyProtection="1">
      <alignment horizontal="center" vertical="center" wrapText="1"/>
      <protection locked="0" hidden="1"/>
    </xf>
    <xf numFmtId="0" fontId="32" fillId="6" borderId="73" xfId="0" applyFont="1" applyFill="1" applyBorder="1" applyAlignment="1" applyProtection="1">
      <alignment horizontal="center" vertical="center" wrapText="1"/>
      <protection locked="0" hidden="1"/>
    </xf>
    <xf numFmtId="0" fontId="32" fillId="6" borderId="55" xfId="0" applyFont="1" applyFill="1" applyBorder="1" applyAlignment="1" applyProtection="1">
      <alignment horizontal="center" vertical="center" wrapText="1"/>
      <protection locked="0" hidden="1"/>
    </xf>
    <xf numFmtId="0" fontId="32" fillId="6" borderId="74" xfId="0" applyFont="1" applyFill="1" applyBorder="1" applyAlignment="1" applyProtection="1">
      <alignment horizontal="center" vertical="center" wrapText="1"/>
      <protection locked="0" hidden="1"/>
    </xf>
    <xf numFmtId="0" fontId="0" fillId="12" borderId="106" xfId="0" applyFill="1" applyBorder="1" applyAlignment="1" applyProtection="1">
      <alignment horizontal="center"/>
      <protection locked="0" hidden="1"/>
    </xf>
    <xf numFmtId="166" fontId="21" fillId="0" borderId="106" xfId="0" applyNumberFormat="1" applyFont="1" applyBorder="1" applyAlignment="1" applyProtection="1">
      <alignment horizontal="center" vertical="center"/>
      <protection hidden="1"/>
    </xf>
    <xf numFmtId="0" fontId="82" fillId="11" borderId="94" xfId="1" applyFont="1" applyFill="1" applyBorder="1" applyAlignment="1" applyProtection="1">
      <alignment horizontal="center" vertical="center"/>
      <protection hidden="1"/>
    </xf>
    <xf numFmtId="0" fontId="82" fillId="11" borderId="0" xfId="1" applyFont="1" applyFill="1" applyBorder="1" applyAlignment="1" applyProtection="1">
      <alignment horizontal="center" vertical="center"/>
      <protection hidden="1"/>
    </xf>
    <xf numFmtId="0" fontId="22" fillId="18" borderId="0" xfId="0" applyFont="1" applyFill="1" applyAlignment="1" applyProtection="1">
      <alignment horizontal="left" vertical="center"/>
      <protection hidden="1"/>
    </xf>
    <xf numFmtId="0" fontId="11" fillId="11" borderId="0" xfId="0" applyFont="1" applyFill="1" applyAlignment="1" applyProtection="1">
      <alignment horizontal="left" vertical="center"/>
      <protection hidden="1"/>
    </xf>
    <xf numFmtId="0" fontId="0" fillId="0" borderId="3" xfId="0" applyBorder="1" applyAlignment="1" applyProtection="1">
      <alignment horizontal="center" wrapText="1"/>
      <protection hidden="1"/>
    </xf>
    <xf numFmtId="0" fontId="22" fillId="18" borderId="0" xfId="0" applyFont="1" applyFill="1" applyAlignment="1" applyProtection="1">
      <alignment horizontal="center" vertical="center"/>
      <protection hidden="1"/>
    </xf>
    <xf numFmtId="0" fontId="15" fillId="12" borderId="85" xfId="0" applyFont="1" applyFill="1" applyBorder="1" applyAlignment="1" applyProtection="1">
      <alignment horizontal="center" vertical="center" wrapText="1"/>
      <protection locked="0" hidden="1"/>
    </xf>
    <xf numFmtId="0" fontId="15" fillId="12" borderId="0" xfId="0" applyFont="1" applyFill="1" applyAlignment="1" applyProtection="1">
      <alignment horizontal="center" vertical="center" wrapText="1"/>
      <protection locked="0" hidden="1"/>
    </xf>
    <xf numFmtId="0" fontId="15" fillId="12" borderId="86" xfId="0" applyFont="1" applyFill="1" applyBorder="1" applyAlignment="1" applyProtection="1">
      <alignment horizontal="center" vertical="center" wrapText="1"/>
      <protection locked="0" hidden="1"/>
    </xf>
    <xf numFmtId="0" fontId="15" fillId="12" borderId="55" xfId="0" applyFont="1" applyFill="1" applyBorder="1" applyAlignment="1" applyProtection="1">
      <alignment horizontal="center"/>
      <protection locked="0" hidden="1"/>
    </xf>
    <xf numFmtId="0" fontId="11" fillId="11" borderId="55" xfId="0" applyFont="1" applyFill="1" applyBorder="1" applyAlignment="1" applyProtection="1">
      <alignment horizontal="left" vertical="center" indent="1"/>
      <protection hidden="1"/>
    </xf>
    <xf numFmtId="0" fontId="15" fillId="12" borderId="55" xfId="0" applyFont="1" applyFill="1" applyBorder="1" applyAlignment="1" applyProtection="1">
      <alignment horizontal="center" vertical="center"/>
      <protection hidden="1"/>
    </xf>
    <xf numFmtId="0" fontId="15" fillId="12" borderId="109" xfId="0" applyFont="1" applyFill="1" applyBorder="1" applyAlignment="1" applyProtection="1">
      <alignment horizontal="center"/>
      <protection hidden="1"/>
    </xf>
    <xf numFmtId="0" fontId="15" fillId="12" borderId="110" xfId="0" applyFont="1" applyFill="1" applyBorder="1" applyAlignment="1" applyProtection="1">
      <alignment horizontal="center"/>
      <protection hidden="1"/>
    </xf>
    <xf numFmtId="0" fontId="15" fillId="12" borderId="111" xfId="0" applyFont="1" applyFill="1" applyBorder="1" applyAlignment="1" applyProtection="1">
      <alignment horizontal="center"/>
      <protection hidden="1"/>
    </xf>
    <xf numFmtId="2" fontId="15" fillId="0" borderId="0" xfId="0" applyNumberFormat="1" applyFont="1" applyAlignment="1" applyProtection="1">
      <alignment horizontal="right"/>
      <protection hidden="1"/>
    </xf>
    <xf numFmtId="43" fontId="15" fillId="12" borderId="56" xfId="19" applyFont="1" applyFill="1" applyBorder="1" applyAlignment="1" applyProtection="1">
      <alignment horizontal="right"/>
      <protection hidden="1"/>
    </xf>
    <xf numFmtId="43" fontId="15" fillId="12" borderId="12" xfId="19" applyFont="1" applyFill="1" applyBorder="1" applyAlignment="1" applyProtection="1">
      <alignment horizontal="right"/>
      <protection hidden="1"/>
    </xf>
    <xf numFmtId="0" fontId="15" fillId="12" borderId="87" xfId="0" applyFont="1" applyFill="1" applyBorder="1" applyAlignment="1" applyProtection="1">
      <alignment horizontal="center" vertical="center" wrapText="1"/>
      <protection locked="0" hidden="1"/>
    </xf>
    <xf numFmtId="0" fontId="15" fillId="12" borderId="88" xfId="0" applyFont="1" applyFill="1" applyBorder="1" applyAlignment="1" applyProtection="1">
      <alignment horizontal="center" vertical="center" wrapText="1"/>
      <protection locked="0" hidden="1"/>
    </xf>
    <xf numFmtId="0" fontId="15" fillId="12" borderId="89" xfId="0" applyFont="1" applyFill="1" applyBorder="1" applyAlignment="1" applyProtection="1">
      <alignment horizontal="center" vertical="center" wrapText="1"/>
      <protection locked="0" hidden="1"/>
    </xf>
    <xf numFmtId="0" fontId="11" fillId="18" borderId="0" xfId="0" applyFont="1" applyFill="1" applyAlignment="1" applyProtection="1">
      <alignment horizontal="left"/>
      <protection hidden="1"/>
    </xf>
    <xf numFmtId="0" fontId="11" fillId="11" borderId="86" xfId="0" applyFont="1" applyFill="1" applyBorder="1" applyAlignment="1" applyProtection="1">
      <alignment horizontal="left" vertical="center"/>
      <protection hidden="1"/>
    </xf>
    <xf numFmtId="0" fontId="15" fillId="12" borderId="85" xfId="0" applyFont="1" applyFill="1" applyBorder="1" applyAlignment="1" applyProtection="1">
      <alignment horizontal="center"/>
      <protection locked="0" hidden="1"/>
    </xf>
    <xf numFmtId="0" fontId="15" fillId="12" borderId="86" xfId="0" applyFont="1" applyFill="1" applyBorder="1" applyAlignment="1" applyProtection="1">
      <alignment horizontal="center"/>
      <protection locked="0" hidden="1"/>
    </xf>
    <xf numFmtId="0" fontId="15" fillId="12" borderId="107" xfId="0" applyFont="1" applyFill="1" applyBorder="1" applyAlignment="1" applyProtection="1">
      <alignment horizontal="center"/>
      <protection locked="0" hidden="1"/>
    </xf>
    <xf numFmtId="0" fontId="15" fillId="12" borderId="108" xfId="0" applyFont="1" applyFill="1" applyBorder="1" applyAlignment="1" applyProtection="1">
      <alignment horizontal="center"/>
      <protection locked="0" hidden="1"/>
    </xf>
    <xf numFmtId="164" fontId="15" fillId="17" borderId="55" xfId="0" applyNumberFormat="1" applyFont="1" applyFill="1" applyBorder="1" applyAlignment="1" applyProtection="1">
      <alignment horizontal="center" vertical="center"/>
      <protection hidden="1"/>
    </xf>
    <xf numFmtId="0" fontId="15" fillId="18" borderId="0" xfId="0" applyFont="1" applyFill="1" applyAlignment="1" applyProtection="1">
      <alignment horizontal="center"/>
      <protection locked="0" hidden="1"/>
    </xf>
    <xf numFmtId="0" fontId="11" fillId="11" borderId="55" xfId="0" applyFont="1" applyFill="1" applyBorder="1" applyAlignment="1" applyProtection="1">
      <alignment horizontal="center" vertical="center"/>
      <protection hidden="1"/>
    </xf>
    <xf numFmtId="0" fontId="11" fillId="18" borderId="0" xfId="0" applyFont="1" applyFill="1" applyAlignment="1" applyProtection="1">
      <alignment horizontal="left" vertical="center" indent="1"/>
      <protection hidden="1"/>
    </xf>
    <xf numFmtId="0" fontId="0" fillId="0" borderId="0" xfId="0" applyAlignment="1" applyProtection="1">
      <alignment horizontal="center" vertical="center" wrapText="1"/>
      <protection hidden="1"/>
    </xf>
    <xf numFmtId="0" fontId="95" fillId="0" borderId="0" xfId="1" applyFont="1" applyAlignment="1" applyProtection="1">
      <alignment horizontal="center" vertical="center" wrapText="1"/>
      <protection locked="0" hidden="1"/>
    </xf>
    <xf numFmtId="0" fontId="87" fillId="11" borderId="0" xfId="7" applyFont="1" applyFill="1" applyAlignment="1" applyProtection="1">
      <alignment horizontal="left" vertical="center"/>
      <protection hidden="1"/>
    </xf>
    <xf numFmtId="0" fontId="11" fillId="11" borderId="0" xfId="0" applyFont="1" applyFill="1" applyAlignment="1" applyProtection="1">
      <alignment horizontal="left" vertical="center" indent="1"/>
      <protection hidden="1"/>
    </xf>
    <xf numFmtId="0" fontId="76" fillId="0" borderId="0" xfId="8" applyFont="1" applyAlignment="1" applyProtection="1">
      <alignment horizontal="left" wrapText="1" indent="1"/>
      <protection hidden="1"/>
    </xf>
    <xf numFmtId="0" fontId="0" fillId="0" borderId="0" xfId="0" applyAlignment="1">
      <alignment horizontal="center"/>
    </xf>
    <xf numFmtId="0" fontId="78" fillId="12" borderId="0" xfId="0" applyFont="1" applyFill="1" applyAlignment="1" applyProtection="1">
      <alignment horizontal="left" vertical="center"/>
      <protection hidden="1"/>
    </xf>
    <xf numFmtId="0" fontId="25" fillId="0" borderId="0" xfId="0" applyFont="1" applyAlignment="1" applyProtection="1">
      <alignment horizontal="center" vertical="center"/>
      <protection hidden="1"/>
    </xf>
    <xf numFmtId="0" fontId="78" fillId="17" borderId="0" xfId="0" applyFont="1" applyFill="1" applyAlignment="1" applyProtection="1">
      <alignment horizontal="left" vertical="center"/>
      <protection hidden="1"/>
    </xf>
    <xf numFmtId="0" fontId="74" fillId="11" borderId="94" xfId="1" applyFont="1" applyFill="1" applyBorder="1" applyAlignment="1" applyProtection="1">
      <alignment horizontal="center" vertical="center"/>
      <protection hidden="1"/>
    </xf>
    <xf numFmtId="0" fontId="74" fillId="11" borderId="0" xfId="1" applyFont="1" applyFill="1" applyBorder="1" applyAlignment="1" applyProtection="1">
      <alignment horizontal="center" vertical="center"/>
      <protection hidden="1"/>
    </xf>
    <xf numFmtId="0" fontId="0" fillId="0" borderId="0" xfId="0" applyAlignment="1" applyProtection="1">
      <alignment horizontal="left" vertical="center" indent="2"/>
      <protection hidden="1"/>
    </xf>
    <xf numFmtId="0" fontId="0" fillId="0" borderId="0" xfId="0" applyAlignment="1" applyProtection="1">
      <alignment horizontal="center" vertical="center"/>
      <protection hidden="1"/>
    </xf>
    <xf numFmtId="0" fontId="78" fillId="12" borderId="0" xfId="0" applyFont="1" applyFill="1" applyAlignment="1" applyProtection="1">
      <alignment horizontal="left"/>
      <protection hidden="1"/>
    </xf>
    <xf numFmtId="0" fontId="48" fillId="11" borderId="55" xfId="0" applyFont="1" applyFill="1" applyBorder="1" applyAlignment="1" applyProtection="1">
      <alignment horizontal="right" vertical="center" indent="2"/>
      <protection hidden="1"/>
    </xf>
    <xf numFmtId="0" fontId="52" fillId="12" borderId="0" xfId="0" applyFont="1" applyFill="1" applyAlignment="1" applyProtection="1">
      <alignment horizontal="center" vertical="center"/>
      <protection hidden="1"/>
    </xf>
    <xf numFmtId="0" fontId="75" fillId="12" borderId="0" xfId="0" applyFont="1" applyFill="1" applyAlignment="1" applyProtection="1">
      <alignment horizontal="left"/>
      <protection hidden="1"/>
    </xf>
    <xf numFmtId="0" fontId="77" fillId="12" borderId="0" xfId="1" applyFont="1" applyFill="1" applyAlignment="1" applyProtection="1">
      <alignment horizontal="center"/>
      <protection hidden="1"/>
    </xf>
    <xf numFmtId="0" fontId="15" fillId="11" borderId="0" xfId="0" applyFont="1" applyFill="1" applyAlignment="1" applyProtection="1">
      <alignment horizontal="left"/>
      <protection hidden="1"/>
    </xf>
    <xf numFmtId="2" fontId="15" fillId="12" borderId="0" xfId="21" applyNumberFormat="1" applyFont="1" applyFill="1" applyAlignment="1" applyProtection="1">
      <alignment horizontal="center" vertical="center"/>
      <protection hidden="1"/>
    </xf>
    <xf numFmtId="1" fontId="44" fillId="12" borderId="0" xfId="0" applyNumberFormat="1" applyFont="1" applyFill="1" applyAlignment="1" applyProtection="1">
      <alignment horizontal="center" vertical="center"/>
      <protection hidden="1"/>
    </xf>
    <xf numFmtId="0" fontId="75" fillId="12" borderId="0" xfId="0" applyFont="1" applyFill="1" applyAlignment="1" applyProtection="1">
      <alignment horizontal="center"/>
      <protection hidden="1"/>
    </xf>
    <xf numFmtId="0" fontId="0" fillId="0" borderId="3" xfId="0" applyBorder="1" applyAlignment="1" applyProtection="1">
      <alignment horizontal="left" wrapText="1"/>
      <protection hidden="1"/>
    </xf>
    <xf numFmtId="14"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15" fillId="11" borderId="0" xfId="0" applyFont="1" applyFill="1" applyAlignment="1" applyProtection="1">
      <alignment horizontal="left" vertical="center" wrapText="1"/>
      <protection hidden="1"/>
    </xf>
    <xf numFmtId="2" fontId="15" fillId="12" borderId="0" xfId="0" applyNumberFormat="1" applyFont="1" applyFill="1" applyAlignment="1" applyProtection="1">
      <alignment horizontal="center" vertical="center"/>
      <protection hidden="1"/>
    </xf>
    <xf numFmtId="0" fontId="0" fillId="0" borderId="0" xfId="0"/>
    <xf numFmtId="0" fontId="9" fillId="0" borderId="94" xfId="1" applyFill="1" applyBorder="1" applyAlignment="1" applyProtection="1">
      <alignment horizontal="center" vertical="center" wrapText="1"/>
      <protection hidden="1"/>
    </xf>
    <xf numFmtId="0" fontId="9" fillId="0" borderId="0" xfId="1" applyFill="1" applyBorder="1" applyAlignment="1" applyProtection="1">
      <alignment horizontal="center" vertical="center" wrapText="1"/>
      <protection hidden="1"/>
    </xf>
    <xf numFmtId="0" fontId="35" fillId="12" borderId="0" xfId="9" applyFont="1" applyFill="1" applyAlignment="1" applyProtection="1">
      <alignment horizontal="center" vertical="center"/>
      <protection hidden="1"/>
    </xf>
    <xf numFmtId="0" fontId="26" fillId="0" borderId="0" xfId="9" applyFont="1" applyAlignment="1" applyProtection="1">
      <alignment horizontal="right" vertical="center"/>
      <protection hidden="1"/>
    </xf>
    <xf numFmtId="0" fontId="0" fillId="0" borderId="0" xfId="0" applyAlignment="1" applyProtection="1">
      <alignment horizontal="right" vertical="center"/>
      <protection hidden="1"/>
    </xf>
    <xf numFmtId="0" fontId="34" fillId="0" borderId="0" xfId="0" applyFont="1" applyAlignment="1" applyProtection="1">
      <alignment horizontal="center" vertical="center"/>
      <protection hidden="1"/>
    </xf>
    <xf numFmtId="0" fontId="82" fillId="11" borderId="0" xfId="1" applyFont="1" applyFill="1" applyAlignment="1" applyProtection="1">
      <alignment horizontal="center" vertical="center"/>
      <protection hidden="1"/>
    </xf>
    <xf numFmtId="0" fontId="34" fillId="0" borderId="0" xfId="0" applyFont="1" applyAlignment="1" applyProtection="1">
      <alignment horizontal="center"/>
      <protection hidden="1"/>
    </xf>
    <xf numFmtId="0" fontId="15" fillId="0" borderId="0" xfId="0" applyFont="1" applyAlignment="1" applyProtection="1">
      <alignment horizontal="left" vertical="top" wrapText="1"/>
      <protection hidden="1"/>
    </xf>
    <xf numFmtId="0" fontId="11" fillId="0" borderId="0" xfId="0" applyFont="1" applyAlignment="1" applyProtection="1">
      <alignment horizontal="left"/>
      <protection hidden="1"/>
    </xf>
    <xf numFmtId="0" fontId="8" fillId="21" borderId="56" xfId="0" applyFont="1" applyFill="1" applyBorder="1" applyAlignment="1" applyProtection="1">
      <alignment horizontal="center" vertical="center"/>
      <protection hidden="1"/>
    </xf>
    <xf numFmtId="0" fontId="8" fillId="21" borderId="12" xfId="0" applyFont="1" applyFill="1" applyBorder="1" applyAlignment="1" applyProtection="1">
      <alignment horizontal="center" vertical="center"/>
      <protection hidden="1"/>
    </xf>
    <xf numFmtId="164" fontId="22" fillId="18" borderId="12" xfId="0" applyNumberFormat="1" applyFont="1" applyFill="1" applyBorder="1" applyAlignment="1" applyProtection="1">
      <alignment horizontal="center" vertical="center"/>
      <protection locked="0" hidden="1"/>
    </xf>
    <xf numFmtId="164" fontId="22" fillId="18" borderId="76" xfId="0" applyNumberFormat="1" applyFont="1" applyFill="1" applyBorder="1" applyAlignment="1" applyProtection="1">
      <alignment horizontal="center" vertical="center"/>
      <protection locked="0" hidden="1"/>
    </xf>
    <xf numFmtId="0" fontId="8" fillId="21" borderId="10" xfId="0" applyFont="1" applyFill="1" applyBorder="1" applyAlignment="1" applyProtection="1">
      <alignment horizontal="center" vertical="center" textRotation="90"/>
      <protection hidden="1"/>
    </xf>
    <xf numFmtId="0" fontId="8" fillId="21" borderId="18" xfId="0" applyFont="1" applyFill="1" applyBorder="1" applyAlignment="1" applyProtection="1">
      <alignment horizontal="center" vertical="center" textRotation="90"/>
      <protection hidden="1"/>
    </xf>
    <xf numFmtId="164" fontId="22" fillId="18" borderId="16" xfId="0" applyNumberFormat="1" applyFont="1" applyFill="1" applyBorder="1" applyAlignment="1" applyProtection="1">
      <alignment horizontal="center" vertical="center" textRotation="90"/>
      <protection locked="0" hidden="1"/>
    </xf>
    <xf numFmtId="164" fontId="22" fillId="18" borderId="10" xfId="0" applyNumberFormat="1" applyFont="1" applyFill="1" applyBorder="1" applyAlignment="1" applyProtection="1">
      <alignment horizontal="center" vertical="center" textRotation="90"/>
      <protection locked="0" hidden="1"/>
    </xf>
    <xf numFmtId="0" fontId="0" fillId="18" borderId="57" xfId="0" applyFill="1" applyBorder="1" applyAlignment="1" applyProtection="1">
      <alignment horizontal="center"/>
      <protection hidden="1"/>
    </xf>
    <xf numFmtId="0" fontId="8" fillId="21" borderId="57" xfId="0" applyFont="1" applyFill="1" applyBorder="1" applyAlignment="1" applyProtection="1">
      <alignment horizontal="left"/>
      <protection hidden="1"/>
    </xf>
    <xf numFmtId="0" fontId="0" fillId="0" borderId="57" xfId="0" applyBorder="1" applyAlignment="1" applyProtection="1">
      <alignment horizontal="center"/>
      <protection hidden="1"/>
    </xf>
    <xf numFmtId="49" fontId="14" fillId="0" borderId="69" xfId="0" applyNumberFormat="1" applyFont="1" applyBorder="1" applyAlignment="1" applyProtection="1">
      <alignment horizontal="center" vertical="center" wrapText="1"/>
      <protection hidden="1"/>
    </xf>
    <xf numFmtId="49" fontId="14" fillId="0" borderId="70" xfId="0" applyNumberFormat="1" applyFont="1" applyBorder="1" applyAlignment="1" applyProtection="1">
      <alignment horizontal="center" vertical="center" wrapText="1"/>
      <protection hidden="1"/>
    </xf>
    <xf numFmtId="49" fontId="14" fillId="0" borderId="71" xfId="0" applyNumberFormat="1" applyFont="1" applyBorder="1" applyAlignment="1" applyProtection="1">
      <alignment horizontal="center" vertical="center" wrapText="1"/>
      <protection hidden="1"/>
    </xf>
    <xf numFmtId="49" fontId="14" fillId="0" borderId="72" xfId="0" applyNumberFormat="1" applyFont="1" applyBorder="1" applyAlignment="1" applyProtection="1">
      <alignment horizontal="center" vertical="center" wrapText="1"/>
      <protection hidden="1"/>
    </xf>
    <xf numFmtId="49" fontId="14" fillId="0" borderId="0" xfId="0" applyNumberFormat="1" applyFont="1" applyAlignment="1" applyProtection="1">
      <alignment horizontal="center" vertical="center" wrapText="1"/>
      <protection hidden="1"/>
    </xf>
    <xf numFmtId="49" fontId="14" fillId="0" borderId="64" xfId="0" applyNumberFormat="1" applyFont="1" applyBorder="1" applyAlignment="1" applyProtection="1">
      <alignment horizontal="center" vertical="center" wrapText="1"/>
      <protection hidden="1"/>
    </xf>
    <xf numFmtId="49" fontId="14" fillId="0" borderId="73" xfId="0" applyNumberFormat="1" applyFont="1" applyBorder="1" applyAlignment="1" applyProtection="1">
      <alignment horizontal="center" vertical="center" wrapText="1"/>
      <protection hidden="1"/>
    </xf>
    <xf numFmtId="49" fontId="14" fillId="0" borderId="55" xfId="0" applyNumberFormat="1" applyFont="1" applyBorder="1" applyAlignment="1" applyProtection="1">
      <alignment horizontal="center" vertical="center" wrapText="1"/>
      <protection hidden="1"/>
    </xf>
    <xf numFmtId="49" fontId="14" fillId="0" borderId="74" xfId="0" applyNumberFormat="1" applyFont="1" applyBorder="1" applyAlignment="1" applyProtection="1">
      <alignment horizontal="center" vertical="center" wrapText="1"/>
      <protection hidden="1"/>
    </xf>
    <xf numFmtId="0" fontId="8" fillId="21" borderId="0" xfId="0" applyFont="1" applyFill="1" applyAlignment="1" applyProtection="1">
      <alignment horizontal="left"/>
      <protection hidden="1"/>
    </xf>
    <xf numFmtId="0" fontId="51" fillId="0" borderId="56" xfId="0" applyFont="1" applyBorder="1" applyAlignment="1" applyProtection="1">
      <alignment horizontal="center" vertical="center"/>
      <protection hidden="1"/>
    </xf>
    <xf numFmtId="0" fontId="51" fillId="0" borderId="12" xfId="0" applyFont="1" applyBorder="1" applyAlignment="1" applyProtection="1">
      <alignment horizontal="center" vertical="center"/>
      <protection hidden="1"/>
    </xf>
    <xf numFmtId="0" fontId="51" fillId="0" borderId="76" xfId="0" applyFont="1" applyBorder="1" applyAlignment="1" applyProtection="1">
      <alignment horizontal="center" vertical="center"/>
      <protection hidden="1"/>
    </xf>
    <xf numFmtId="0" fontId="24" fillId="21" borderId="57" xfId="0" applyFont="1" applyFill="1" applyBorder="1" applyAlignment="1" applyProtection="1">
      <alignment horizontal="center" vertical="center"/>
      <protection hidden="1"/>
    </xf>
    <xf numFmtId="0" fontId="0" fillId="18" borderId="57" xfId="0" applyFill="1" applyBorder="1" applyAlignment="1" applyProtection="1">
      <alignment horizontal="left"/>
      <protection hidden="1"/>
    </xf>
    <xf numFmtId="2" fontId="84" fillId="0" borderId="0" xfId="0" applyNumberFormat="1" applyFont="1" applyAlignment="1" applyProtection="1">
      <alignment horizontal="right" vertical="center"/>
      <protection hidden="1"/>
    </xf>
    <xf numFmtId="0" fontId="84" fillId="0" borderId="0" xfId="0" applyFont="1" applyAlignment="1" applyProtection="1">
      <alignment horizontal="right" vertical="center"/>
      <protection hidden="1"/>
    </xf>
    <xf numFmtId="0" fontId="32" fillId="18" borderId="0" xfId="0" applyFont="1" applyFill="1" applyAlignment="1" applyProtection="1">
      <alignment horizontal="center"/>
      <protection hidden="1"/>
    </xf>
    <xf numFmtId="0" fontId="0" fillId="0" borderId="57" xfId="0" applyBorder="1" applyAlignment="1">
      <alignment horizontal="left"/>
    </xf>
    <xf numFmtId="0" fontId="89" fillId="0" borderId="0" xfId="0" applyFont="1" applyAlignment="1" applyProtection="1">
      <alignment horizontal="center" vertical="center"/>
      <protection hidden="1"/>
    </xf>
    <xf numFmtId="0" fontId="79" fillId="21" borderId="0" xfId="0" applyFont="1" applyFill="1" applyAlignment="1" applyProtection="1">
      <alignment horizontal="center" vertical="center" textRotation="180"/>
      <protection hidden="1"/>
    </xf>
    <xf numFmtId="0" fontId="0" fillId="18" borderId="55" xfId="0" applyFill="1" applyBorder="1" applyAlignment="1" applyProtection="1">
      <alignment horizontal="center"/>
      <protection hidden="1"/>
    </xf>
    <xf numFmtId="0" fontId="0" fillId="18" borderId="57" xfId="0" applyFill="1" applyBorder="1" applyAlignment="1" applyProtection="1">
      <alignment horizontal="center" vertical="center"/>
      <protection hidden="1"/>
    </xf>
    <xf numFmtId="0" fontId="8" fillId="21" borderId="57" xfId="0" applyFont="1" applyFill="1" applyBorder="1" applyAlignment="1" applyProtection="1">
      <alignment horizontal="center"/>
      <protection hidden="1"/>
    </xf>
    <xf numFmtId="0" fontId="0" fillId="0" borderId="57" xfId="0" applyBorder="1" applyAlignment="1">
      <alignment horizontal="right"/>
    </xf>
    <xf numFmtId="0" fontId="51" fillId="0" borderId="0" xfId="0" applyFont="1" applyAlignment="1" applyProtection="1">
      <alignment horizontal="center" vertical="center"/>
      <protection hidden="1"/>
    </xf>
    <xf numFmtId="0" fontId="16" fillId="0" borderId="34" xfId="0" applyFont="1" applyBorder="1" applyAlignment="1">
      <alignment horizontal="center"/>
    </xf>
    <xf numFmtId="2" fontId="16" fillId="0" borderId="34" xfId="0" applyNumberFormat="1" applyFont="1" applyBorder="1" applyAlignment="1">
      <alignment horizontal="center"/>
    </xf>
    <xf numFmtId="1" fontId="16" fillId="0" borderId="34" xfId="0" applyNumberFormat="1" applyFont="1" applyBorder="1" applyAlignment="1">
      <alignment horizontal="center"/>
    </xf>
    <xf numFmtId="1" fontId="16" fillId="0" borderId="35" xfId="0" applyNumberFormat="1" applyFont="1" applyBorder="1" applyAlignment="1">
      <alignment horizontal="center"/>
    </xf>
    <xf numFmtId="0" fontId="17" fillId="0" borderId="48" xfId="0" applyFont="1" applyBorder="1" applyAlignment="1">
      <alignment horizontal="center"/>
    </xf>
    <xf numFmtId="0" fontId="17" fillId="0" borderId="77" xfId="0" applyFont="1" applyBorder="1" applyAlignment="1">
      <alignment horizontal="center"/>
    </xf>
    <xf numFmtId="0" fontId="17" fillId="0" borderId="80" xfId="0" applyFont="1" applyBorder="1" applyAlignment="1">
      <alignment horizontal="center"/>
    </xf>
    <xf numFmtId="2" fontId="16" fillId="0" borderId="29" xfId="0" applyNumberFormat="1" applyFont="1" applyBorder="1" applyAlignment="1">
      <alignment horizontal="center"/>
    </xf>
    <xf numFmtId="1" fontId="16" fillId="0" borderId="29" xfId="0" applyNumberFormat="1" applyFont="1" applyBorder="1" applyAlignment="1">
      <alignment horizontal="center"/>
    </xf>
    <xf numFmtId="1" fontId="16" fillId="0" borderId="30" xfId="0" applyNumberFormat="1" applyFont="1" applyBorder="1" applyAlignment="1">
      <alignment horizontal="center"/>
    </xf>
    <xf numFmtId="2" fontId="16" fillId="0" borderId="48" xfId="0" applyNumberFormat="1" applyFont="1" applyBorder="1" applyAlignment="1">
      <alignment horizontal="center"/>
    </xf>
    <xf numFmtId="1" fontId="16" fillId="0" borderId="48" xfId="0" applyNumberFormat="1" applyFont="1" applyBorder="1" applyAlignment="1">
      <alignment horizontal="center"/>
    </xf>
    <xf numFmtId="1" fontId="16" fillId="0" borderId="49" xfId="0" applyNumberFormat="1" applyFont="1" applyBorder="1" applyAlignment="1">
      <alignment horizontal="center"/>
    </xf>
    <xf numFmtId="2" fontId="16" fillId="0" borderId="46" xfId="0" applyNumberFormat="1" applyFont="1" applyBorder="1" applyAlignment="1">
      <alignment horizontal="center"/>
    </xf>
    <xf numFmtId="1" fontId="16" fillId="0" borderId="46" xfId="0" applyNumberFormat="1" applyFont="1" applyBorder="1" applyAlignment="1">
      <alignment horizontal="center"/>
    </xf>
    <xf numFmtId="1" fontId="16" fillId="0" borderId="47" xfId="0" applyNumberFormat="1" applyFont="1" applyBorder="1" applyAlignment="1">
      <alignment horizontal="center"/>
    </xf>
    <xf numFmtId="2" fontId="17" fillId="0" borderId="34" xfId="0" applyNumberFormat="1" applyFont="1" applyBorder="1" applyAlignment="1">
      <alignment horizontal="center"/>
    </xf>
    <xf numFmtId="1" fontId="17" fillId="0" borderId="34" xfId="0" applyNumberFormat="1" applyFont="1" applyBorder="1" applyAlignment="1">
      <alignment horizontal="center"/>
    </xf>
    <xf numFmtId="1" fontId="17" fillId="0" borderId="35" xfId="0" applyNumberFormat="1" applyFont="1" applyBorder="1" applyAlignment="1">
      <alignment horizontal="center"/>
    </xf>
    <xf numFmtId="2" fontId="17" fillId="0" borderId="29" xfId="0" applyNumberFormat="1" applyFont="1" applyBorder="1" applyAlignment="1">
      <alignment horizontal="center"/>
    </xf>
    <xf numFmtId="1" fontId="17" fillId="0" borderId="29" xfId="0" applyNumberFormat="1" applyFont="1" applyBorder="1" applyAlignment="1">
      <alignment horizontal="center"/>
    </xf>
    <xf numFmtId="1" fontId="17" fillId="0" borderId="30" xfId="0" applyNumberFormat="1" applyFont="1" applyBorder="1" applyAlignment="1">
      <alignment horizontal="center"/>
    </xf>
    <xf numFmtId="0" fontId="17" fillId="0" borderId="82" xfId="0" applyFont="1" applyBorder="1" applyAlignment="1">
      <alignment horizontal="center"/>
    </xf>
    <xf numFmtId="0" fontId="17" fillId="0" borderId="79" xfId="0" applyFont="1" applyBorder="1" applyAlignment="1">
      <alignment horizontal="center"/>
    </xf>
    <xf numFmtId="2" fontId="17" fillId="0" borderId="48" xfId="0" applyNumberFormat="1" applyFont="1" applyBorder="1" applyAlignment="1">
      <alignment horizontal="center"/>
    </xf>
    <xf numFmtId="2" fontId="17" fillId="0" borderId="79" xfId="0" applyNumberFormat="1" applyFont="1" applyBorder="1" applyAlignment="1">
      <alignment horizontal="center"/>
    </xf>
    <xf numFmtId="1" fontId="17" fillId="0" borderId="48" xfId="0" applyNumberFormat="1" applyFont="1" applyBorder="1" applyAlignment="1">
      <alignment horizontal="center"/>
    </xf>
    <xf numFmtId="1" fontId="17" fillId="0" borderId="49" xfId="0" applyNumberFormat="1" applyFont="1" applyBorder="1" applyAlignment="1">
      <alignment horizontal="center"/>
    </xf>
    <xf numFmtId="2" fontId="17" fillId="0" borderId="77" xfId="0" applyNumberFormat="1" applyFont="1" applyBorder="1" applyAlignment="1">
      <alignment horizontal="center"/>
    </xf>
    <xf numFmtId="2" fontId="17" fillId="0" borderId="80" xfId="0" applyNumberFormat="1" applyFont="1" applyBorder="1" applyAlignment="1">
      <alignment horizontal="center"/>
    </xf>
    <xf numFmtId="0" fontId="16" fillId="3" borderId="22" xfId="0" applyFont="1" applyFill="1" applyBorder="1" applyAlignment="1">
      <alignment horizontal="center"/>
    </xf>
    <xf numFmtId="0" fontId="16" fillId="3" borderId="24" xfId="0" applyFont="1" applyFill="1" applyBorder="1" applyAlignment="1">
      <alignment horizontal="center"/>
    </xf>
    <xf numFmtId="0" fontId="16" fillId="4" borderId="81" xfId="0" applyFont="1" applyFill="1" applyBorder="1" applyAlignment="1">
      <alignment horizontal="center"/>
    </xf>
    <xf numFmtId="0" fontId="16" fillId="4" borderId="78" xfId="0" applyFont="1" applyFill="1" applyBorder="1" applyAlignment="1">
      <alignment horizontal="center"/>
    </xf>
    <xf numFmtId="0" fontId="96" fillId="11" borderId="0" xfId="7" applyFont="1" applyFill="1" applyAlignment="1" applyProtection="1">
      <alignment horizontal="center" vertical="center"/>
      <protection hidden="1"/>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819">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indexed="17"/>
      </font>
      <fill>
        <patternFill>
          <bgColor indexed="42"/>
        </patternFill>
      </fill>
    </dxf>
    <dxf>
      <font>
        <color indexed="20"/>
      </font>
      <fill>
        <patternFill>
          <bgColor indexed="45"/>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color theme="0"/>
      </font>
      <fill>
        <patternFill>
          <bgColor theme="0"/>
        </patternFill>
      </fill>
    </dxf>
    <dxf>
      <font>
        <color theme="0"/>
      </font>
      <fill>
        <patternFill>
          <bgColor theme="3"/>
        </patternFill>
      </fill>
    </dxf>
    <dxf>
      <font>
        <color theme="0"/>
      </font>
      <fill>
        <patternFill>
          <bgColor theme="0"/>
        </patternFill>
      </fill>
    </dxf>
    <dxf>
      <font>
        <color theme="0"/>
      </font>
      <fill>
        <patternFill>
          <bgColor theme="3"/>
        </patternFill>
      </fill>
    </dxf>
    <dxf>
      <font>
        <color theme="0"/>
      </font>
      <fill>
        <patternFill>
          <bgColor theme="0"/>
        </patternFill>
      </fill>
      <border>
        <bottom/>
      </border>
    </dxf>
    <dxf>
      <font>
        <strike val="0"/>
        <color theme="1"/>
      </font>
    </dxf>
    <dxf>
      <font>
        <strike val="0"/>
        <color theme="1"/>
      </font>
    </dxf>
    <dxf>
      <font>
        <strike val="0"/>
        <color theme="0"/>
      </font>
      <fill>
        <patternFill>
          <bgColor theme="0"/>
        </patternFill>
      </fill>
      <border>
        <bottom/>
      </border>
    </dxf>
    <dxf>
      <font>
        <color theme="1"/>
      </font>
    </dxf>
    <dxf>
      <font>
        <b/>
        <i val="0"/>
        <color theme="1"/>
      </font>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ont>
        <color theme="0"/>
      </font>
      <fill>
        <patternFill>
          <bgColor rgb="FF009EE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9EE0"/>
      <color rgb="FF004984"/>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REF!"/>
</file>

<file path=xl/ctrlProps/ctrlProp17.xml><?xml version="1.0" encoding="utf-8"?>
<formControlPr xmlns="http://schemas.microsoft.com/office/spreadsheetml/2009/9/main" objectType="Radio" checked="Checked" firstButton="1" fmlaLink="kombinace_2!$V$1"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CheckBox" fmlaLink="#REF!"/>
</file>

<file path=xl/ctrlProps/ctrlProp20.xml><?xml version="1.0" encoding="utf-8"?>
<formControlPr xmlns="http://schemas.microsoft.com/office/spreadsheetml/2009/9/main" objectType="CheckBox" fmlaLink="kombinace_2!$H$1" lockText="1"/>
</file>

<file path=xl/ctrlProps/ctrlProp21.xml><?xml version="1.0" encoding="utf-8"?>
<formControlPr xmlns="http://schemas.microsoft.com/office/spreadsheetml/2009/9/main" objectType="CheckBox" fmlaLink="$AQ$13" lockText="1"/>
</file>

<file path=xl/ctrlProps/ctrlProp22.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8.jpeg"/><Relationship Id="rId13" Type="http://schemas.openxmlformats.org/officeDocument/2006/relationships/image" Target="../media/image23.png"/><Relationship Id="rId3" Type="http://schemas.openxmlformats.org/officeDocument/2006/relationships/image" Target="../media/image13.jpeg"/><Relationship Id="rId7" Type="http://schemas.openxmlformats.org/officeDocument/2006/relationships/image" Target="../media/image17.jpeg"/><Relationship Id="rId12" Type="http://schemas.openxmlformats.org/officeDocument/2006/relationships/image" Target="../media/image22.png"/><Relationship Id="rId17" Type="http://schemas.openxmlformats.org/officeDocument/2006/relationships/image" Target="../media/image26.png"/><Relationship Id="rId2" Type="http://schemas.openxmlformats.org/officeDocument/2006/relationships/image" Target="../media/image12.png"/><Relationship Id="rId16" Type="http://schemas.openxmlformats.org/officeDocument/2006/relationships/image" Target="../media/image25.png"/><Relationship Id="rId1" Type="http://schemas.openxmlformats.org/officeDocument/2006/relationships/image" Target="../media/image11.jpeg"/><Relationship Id="rId6" Type="http://schemas.openxmlformats.org/officeDocument/2006/relationships/image" Target="../media/image16.jpeg"/><Relationship Id="rId11" Type="http://schemas.openxmlformats.org/officeDocument/2006/relationships/image" Target="../media/image21.png"/><Relationship Id="rId5" Type="http://schemas.openxmlformats.org/officeDocument/2006/relationships/image" Target="../media/image15.jpeg"/><Relationship Id="rId15" Type="http://schemas.openxmlformats.org/officeDocument/2006/relationships/image" Target="../media/image24.png"/><Relationship Id="rId10" Type="http://schemas.openxmlformats.org/officeDocument/2006/relationships/image" Target="../media/image20.jpeg"/><Relationship Id="rId4" Type="http://schemas.openxmlformats.org/officeDocument/2006/relationships/image" Target="../media/image14.jpeg"/><Relationship Id="rId9" Type="http://schemas.openxmlformats.org/officeDocument/2006/relationships/image" Target="../media/image19.jpeg"/><Relationship Id="rId1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8" Type="http://schemas.openxmlformats.org/officeDocument/2006/relationships/image" Target="../media/image34.emf"/><Relationship Id="rId13" Type="http://schemas.openxmlformats.org/officeDocument/2006/relationships/image" Target="../media/image39.emf"/><Relationship Id="rId18" Type="http://schemas.openxmlformats.org/officeDocument/2006/relationships/image" Target="../media/image3.png"/><Relationship Id="rId3" Type="http://schemas.openxmlformats.org/officeDocument/2006/relationships/image" Target="../media/image29.emf"/><Relationship Id="rId7" Type="http://schemas.openxmlformats.org/officeDocument/2006/relationships/image" Target="../media/image33.emf"/><Relationship Id="rId12" Type="http://schemas.openxmlformats.org/officeDocument/2006/relationships/image" Target="../media/image38.emf"/><Relationship Id="rId17" Type="http://schemas.openxmlformats.org/officeDocument/2006/relationships/image" Target="../media/image43.emf"/><Relationship Id="rId2" Type="http://schemas.openxmlformats.org/officeDocument/2006/relationships/image" Target="../media/image28.emf"/><Relationship Id="rId16" Type="http://schemas.openxmlformats.org/officeDocument/2006/relationships/image" Target="../media/image42.emf"/><Relationship Id="rId1" Type="http://schemas.openxmlformats.org/officeDocument/2006/relationships/image" Target="../media/image27.emf"/><Relationship Id="rId6" Type="http://schemas.openxmlformats.org/officeDocument/2006/relationships/image" Target="../media/image32.emf"/><Relationship Id="rId11" Type="http://schemas.openxmlformats.org/officeDocument/2006/relationships/image" Target="../media/image37.emf"/><Relationship Id="rId5" Type="http://schemas.openxmlformats.org/officeDocument/2006/relationships/image" Target="../media/image31.emf"/><Relationship Id="rId15" Type="http://schemas.openxmlformats.org/officeDocument/2006/relationships/image" Target="../media/image41.emf"/><Relationship Id="rId10" Type="http://schemas.openxmlformats.org/officeDocument/2006/relationships/image" Target="../media/image36.emf"/><Relationship Id="rId4" Type="http://schemas.openxmlformats.org/officeDocument/2006/relationships/image" Target="../media/image30.emf"/><Relationship Id="rId9" Type="http://schemas.openxmlformats.org/officeDocument/2006/relationships/image" Target="../media/image35.emf"/><Relationship Id="rId14" Type="http://schemas.openxmlformats.org/officeDocument/2006/relationships/image" Target="../media/image40.emf"/></Relationships>
</file>

<file path=xl/drawings/_rels/drawing16.xml.rels><?xml version="1.0" encoding="UTF-8" standalone="yes"?>
<Relationships xmlns="http://schemas.openxmlformats.org/package/2006/relationships"><Relationship Id="rId13" Type="http://schemas.openxmlformats.org/officeDocument/2006/relationships/image" Target="../media/image73.jpeg"/><Relationship Id="rId18" Type="http://schemas.openxmlformats.org/officeDocument/2006/relationships/image" Target="../media/image78.jpeg"/><Relationship Id="rId26" Type="http://schemas.openxmlformats.org/officeDocument/2006/relationships/image" Target="../media/image86.jpeg"/><Relationship Id="rId3" Type="http://schemas.openxmlformats.org/officeDocument/2006/relationships/image" Target="../media/image63.jpeg"/><Relationship Id="rId21" Type="http://schemas.openxmlformats.org/officeDocument/2006/relationships/image" Target="../media/image81.jpeg"/><Relationship Id="rId34" Type="http://schemas.openxmlformats.org/officeDocument/2006/relationships/image" Target="../media/image5.png"/><Relationship Id="rId7" Type="http://schemas.openxmlformats.org/officeDocument/2006/relationships/image" Target="../media/image67.jpeg"/><Relationship Id="rId12" Type="http://schemas.openxmlformats.org/officeDocument/2006/relationships/image" Target="../media/image72.jpeg"/><Relationship Id="rId17" Type="http://schemas.openxmlformats.org/officeDocument/2006/relationships/image" Target="../media/image77.jpeg"/><Relationship Id="rId25" Type="http://schemas.openxmlformats.org/officeDocument/2006/relationships/image" Target="../media/image85.jpeg"/><Relationship Id="rId33" Type="http://schemas.openxmlformats.org/officeDocument/2006/relationships/image" Target="../media/image93.jpeg"/><Relationship Id="rId2" Type="http://schemas.openxmlformats.org/officeDocument/2006/relationships/image" Target="../media/image62.jpeg"/><Relationship Id="rId16" Type="http://schemas.openxmlformats.org/officeDocument/2006/relationships/image" Target="../media/image76.jpeg"/><Relationship Id="rId20" Type="http://schemas.openxmlformats.org/officeDocument/2006/relationships/image" Target="../media/image80.jpeg"/><Relationship Id="rId29" Type="http://schemas.openxmlformats.org/officeDocument/2006/relationships/image" Target="../media/image89.jpeg"/><Relationship Id="rId1" Type="http://schemas.openxmlformats.org/officeDocument/2006/relationships/image" Target="../media/image61.jpeg"/><Relationship Id="rId6" Type="http://schemas.openxmlformats.org/officeDocument/2006/relationships/image" Target="../media/image66.jpeg"/><Relationship Id="rId11" Type="http://schemas.openxmlformats.org/officeDocument/2006/relationships/image" Target="../media/image71.jpeg"/><Relationship Id="rId24" Type="http://schemas.openxmlformats.org/officeDocument/2006/relationships/image" Target="../media/image84.jpeg"/><Relationship Id="rId32" Type="http://schemas.openxmlformats.org/officeDocument/2006/relationships/image" Target="../media/image92.jpeg"/><Relationship Id="rId5" Type="http://schemas.openxmlformats.org/officeDocument/2006/relationships/image" Target="../media/image65.jpeg"/><Relationship Id="rId15" Type="http://schemas.openxmlformats.org/officeDocument/2006/relationships/image" Target="../media/image75.jpeg"/><Relationship Id="rId23" Type="http://schemas.openxmlformats.org/officeDocument/2006/relationships/image" Target="../media/image83.jpeg"/><Relationship Id="rId28" Type="http://schemas.openxmlformats.org/officeDocument/2006/relationships/image" Target="../media/image88.jpeg"/><Relationship Id="rId10" Type="http://schemas.openxmlformats.org/officeDocument/2006/relationships/image" Target="../media/image70.jpeg"/><Relationship Id="rId19" Type="http://schemas.openxmlformats.org/officeDocument/2006/relationships/image" Target="../media/image79.jpeg"/><Relationship Id="rId31" Type="http://schemas.openxmlformats.org/officeDocument/2006/relationships/image" Target="../media/image91.jpeg"/><Relationship Id="rId4" Type="http://schemas.openxmlformats.org/officeDocument/2006/relationships/image" Target="../media/image64.jpeg"/><Relationship Id="rId9" Type="http://schemas.openxmlformats.org/officeDocument/2006/relationships/image" Target="../media/image69.jpeg"/><Relationship Id="rId14" Type="http://schemas.openxmlformats.org/officeDocument/2006/relationships/image" Target="../media/image74.jpeg"/><Relationship Id="rId22" Type="http://schemas.openxmlformats.org/officeDocument/2006/relationships/image" Target="../media/image82.jpeg"/><Relationship Id="rId27" Type="http://schemas.openxmlformats.org/officeDocument/2006/relationships/image" Target="../media/image87.jpeg"/><Relationship Id="rId30" Type="http://schemas.openxmlformats.org/officeDocument/2006/relationships/image" Target="../media/image90.jpeg"/><Relationship Id="rId35" Type="http://schemas.openxmlformats.org/officeDocument/2006/relationships/image" Target="../media/image94.png"/><Relationship Id="rId8" Type="http://schemas.openxmlformats.org/officeDocument/2006/relationships/image" Target="../media/image68.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102.emf"/><Relationship Id="rId3" Type="http://schemas.openxmlformats.org/officeDocument/2006/relationships/image" Target="../media/image97.emf"/><Relationship Id="rId7" Type="http://schemas.openxmlformats.org/officeDocument/2006/relationships/image" Target="../media/image101.emf"/><Relationship Id="rId2" Type="http://schemas.openxmlformats.org/officeDocument/2006/relationships/image" Target="../media/image96.emf"/><Relationship Id="rId1" Type="http://schemas.openxmlformats.org/officeDocument/2006/relationships/image" Target="../media/image95.emf"/><Relationship Id="rId6" Type="http://schemas.openxmlformats.org/officeDocument/2006/relationships/image" Target="../media/image100.emf"/><Relationship Id="rId5" Type="http://schemas.openxmlformats.org/officeDocument/2006/relationships/image" Target="../media/image99.emf"/><Relationship Id="rId4" Type="http://schemas.openxmlformats.org/officeDocument/2006/relationships/image" Target="../media/image98.emf"/><Relationship Id="rId9" Type="http://schemas.openxmlformats.org/officeDocument/2006/relationships/image" Target="../media/image103.emf"/></Relationships>
</file>

<file path=xl/drawings/_rels/drawing18.xml.rels><?xml version="1.0" encoding="UTF-8" standalone="yes"?>
<Relationships xmlns="http://schemas.openxmlformats.org/package/2006/relationships"><Relationship Id="rId3" Type="http://schemas.openxmlformats.org/officeDocument/2006/relationships/image" Target="../media/image97.emf"/><Relationship Id="rId7" Type="http://schemas.openxmlformats.org/officeDocument/2006/relationships/image" Target="../media/image114.emf"/><Relationship Id="rId2" Type="http://schemas.openxmlformats.org/officeDocument/2006/relationships/image" Target="../media/image113.emf"/><Relationship Id="rId1" Type="http://schemas.openxmlformats.org/officeDocument/2006/relationships/image" Target="../media/image95.emf"/><Relationship Id="rId6" Type="http://schemas.openxmlformats.org/officeDocument/2006/relationships/image" Target="../media/image100.emf"/><Relationship Id="rId5" Type="http://schemas.openxmlformats.org/officeDocument/2006/relationships/image" Target="../media/image99.emf"/><Relationship Id="rId4" Type="http://schemas.openxmlformats.org/officeDocument/2006/relationships/image" Target="../media/image98.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8" Type="http://schemas.openxmlformats.org/officeDocument/2006/relationships/image" Target="../media/image51.emf"/><Relationship Id="rId13" Type="http://schemas.openxmlformats.org/officeDocument/2006/relationships/image" Target="../media/image56.emf"/><Relationship Id="rId3" Type="http://schemas.openxmlformats.org/officeDocument/2006/relationships/image" Target="../media/image46.emf"/><Relationship Id="rId7" Type="http://schemas.openxmlformats.org/officeDocument/2006/relationships/image" Target="../media/image50.emf"/><Relationship Id="rId12" Type="http://schemas.openxmlformats.org/officeDocument/2006/relationships/image" Target="../media/image55.emf"/><Relationship Id="rId17" Type="http://schemas.openxmlformats.org/officeDocument/2006/relationships/image" Target="../media/image60.emf"/><Relationship Id="rId2" Type="http://schemas.openxmlformats.org/officeDocument/2006/relationships/image" Target="../media/image45.emf"/><Relationship Id="rId16" Type="http://schemas.openxmlformats.org/officeDocument/2006/relationships/image" Target="../media/image59.emf"/><Relationship Id="rId1" Type="http://schemas.openxmlformats.org/officeDocument/2006/relationships/image" Target="../media/image44.emf"/><Relationship Id="rId6" Type="http://schemas.openxmlformats.org/officeDocument/2006/relationships/image" Target="../media/image49.emf"/><Relationship Id="rId11" Type="http://schemas.openxmlformats.org/officeDocument/2006/relationships/image" Target="../media/image54.emf"/><Relationship Id="rId5" Type="http://schemas.openxmlformats.org/officeDocument/2006/relationships/image" Target="../media/image48.emf"/><Relationship Id="rId15" Type="http://schemas.openxmlformats.org/officeDocument/2006/relationships/image" Target="../media/image58.emf"/><Relationship Id="rId10" Type="http://schemas.openxmlformats.org/officeDocument/2006/relationships/image" Target="../media/image53.emf"/><Relationship Id="rId4" Type="http://schemas.openxmlformats.org/officeDocument/2006/relationships/image" Target="../media/image47.emf"/><Relationship Id="rId9" Type="http://schemas.openxmlformats.org/officeDocument/2006/relationships/image" Target="../media/image52.emf"/><Relationship Id="rId14" Type="http://schemas.openxmlformats.org/officeDocument/2006/relationships/image" Target="../media/image57.emf"/></Relationships>
</file>

<file path=xl/drawings/_rels/vmlDrawing14.vml.rels><?xml version="1.0" encoding="UTF-8" standalone="yes"?>
<Relationships xmlns="http://schemas.openxmlformats.org/package/2006/relationships"><Relationship Id="rId8" Type="http://schemas.openxmlformats.org/officeDocument/2006/relationships/image" Target="../media/image111.emf"/><Relationship Id="rId3" Type="http://schemas.openxmlformats.org/officeDocument/2006/relationships/image" Target="../media/image106.emf"/><Relationship Id="rId7" Type="http://schemas.openxmlformats.org/officeDocument/2006/relationships/image" Target="../media/image110.emf"/><Relationship Id="rId2" Type="http://schemas.openxmlformats.org/officeDocument/2006/relationships/image" Target="../media/image105.emf"/><Relationship Id="rId1" Type="http://schemas.openxmlformats.org/officeDocument/2006/relationships/image" Target="../media/image104.emf"/><Relationship Id="rId6" Type="http://schemas.openxmlformats.org/officeDocument/2006/relationships/image" Target="../media/image109.emf"/><Relationship Id="rId5" Type="http://schemas.openxmlformats.org/officeDocument/2006/relationships/image" Target="../media/image108.emf"/><Relationship Id="rId4" Type="http://schemas.openxmlformats.org/officeDocument/2006/relationships/image" Target="../media/image107.emf"/><Relationship Id="rId9" Type="http://schemas.openxmlformats.org/officeDocument/2006/relationships/image" Target="../media/image112.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06.emf"/><Relationship Id="rId7" Type="http://schemas.openxmlformats.org/officeDocument/2006/relationships/image" Target="../media/image116.emf"/><Relationship Id="rId2" Type="http://schemas.openxmlformats.org/officeDocument/2006/relationships/image" Target="../media/image115.emf"/><Relationship Id="rId1" Type="http://schemas.openxmlformats.org/officeDocument/2006/relationships/image" Target="../media/image104.emf"/><Relationship Id="rId6" Type="http://schemas.openxmlformats.org/officeDocument/2006/relationships/image" Target="../media/image109.emf"/><Relationship Id="rId5" Type="http://schemas.openxmlformats.org/officeDocument/2006/relationships/image" Target="../media/image108.emf"/><Relationship Id="rId4" Type="http://schemas.openxmlformats.org/officeDocument/2006/relationships/image" Target="../media/image10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15240</xdr:colOff>
      <xdr:row>36</xdr:row>
      <xdr:rowOff>15240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371474</xdr:colOff>
      <xdr:row>10</xdr:row>
      <xdr:rowOff>125730</xdr:rowOff>
    </xdr:from>
    <xdr:to>
      <xdr:col>21</xdr:col>
      <xdr:colOff>51434</xdr:colOff>
      <xdr:row>22</xdr:row>
      <xdr:rowOff>53340</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224" y="1716405"/>
          <a:ext cx="23336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369570</xdr:colOff>
      <xdr:row>23</xdr:row>
      <xdr:rowOff>26670</xdr:rowOff>
    </xdr:from>
    <xdr:to>
      <xdr:col>21</xdr:col>
      <xdr:colOff>53450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8320" y="3779520"/>
          <a:ext cx="2335640" cy="197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15240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177354</xdr:colOff>
      <xdr:row>3</xdr:row>
      <xdr:rowOff>101005</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161925</xdr:rowOff>
        </xdr:from>
        <xdr:to>
          <xdr:col>5</xdr:col>
          <xdr:colOff>285750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132927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2059939"/>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2059940"/>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132503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2094697"/>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208915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2094698"/>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866775</xdr:colOff>
          <xdr:row>0</xdr:row>
          <xdr:rowOff>0</xdr:rowOff>
        </xdr:from>
        <xdr:to>
          <xdr:col>27</xdr:col>
          <xdr:colOff>0</xdr:colOff>
          <xdr:row>0</xdr:row>
          <xdr:rowOff>209550</xdr:rowOff>
        </xdr:to>
        <xdr:sp macro="" textlink="">
          <xdr:nvSpPr>
            <xdr:cNvPr id="244737" name="Check Box 1967" hidden="1">
              <a:extLst>
                <a:ext uri="{63B3BB69-23CF-44E3-9099-C40C66FF867C}">
                  <a14:compatExt spid="_x0000_s244737"/>
                </a:ext>
                <a:ext uri="{FF2B5EF4-FFF2-40B4-BE49-F238E27FC236}">
                  <a16:creationId xmlns:a16="http://schemas.microsoft.com/office/drawing/2014/main" id="{00000000-0008-0000-1400-000001B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266700</xdr:colOff>
      <xdr:row>0</xdr:row>
      <xdr:rowOff>0</xdr:rowOff>
    </xdr:from>
    <xdr:to>
      <xdr:col>7</xdr:col>
      <xdr:colOff>180975</xdr:colOff>
      <xdr:row>7</xdr:row>
      <xdr:rowOff>85725</xdr:rowOff>
    </xdr:to>
    <xdr:pic>
      <xdr:nvPicPr>
        <xdr:cNvPr id="865707" name="Obrázek 2">
          <a:extLst>
            <a:ext uri="{FF2B5EF4-FFF2-40B4-BE49-F238E27FC236}">
              <a16:creationId xmlns:a16="http://schemas.microsoft.com/office/drawing/2014/main" id="{BA93D36B-1A42-0540-F8D3-8EFC1A68A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0"/>
          <a:ext cx="2247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133350</xdr:colOff>
          <xdr:row>33</xdr:row>
          <xdr:rowOff>200025</xdr:rowOff>
        </xdr:from>
        <xdr:to>
          <xdr:col>9</xdr:col>
          <xdr:colOff>466725</xdr:colOff>
          <xdr:row>35</xdr:row>
          <xdr:rowOff>66675</xdr:rowOff>
        </xdr:to>
        <xdr:sp macro="" textlink="">
          <xdr:nvSpPr>
            <xdr:cNvPr id="244738" name="Option Button 2" hidden="1">
              <a:extLst>
                <a:ext uri="{63B3BB69-23CF-44E3-9099-C40C66FF867C}">
                  <a14:compatExt spid="_x0000_s244738"/>
                </a:ext>
                <a:ext uri="{FF2B5EF4-FFF2-40B4-BE49-F238E27FC236}">
                  <a16:creationId xmlns:a16="http://schemas.microsoft.com/office/drawing/2014/main" id="{00000000-0008-0000-14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xdr:row>
          <xdr:rowOff>200025</xdr:rowOff>
        </xdr:from>
        <xdr:to>
          <xdr:col>12</xdr:col>
          <xdr:colOff>466725</xdr:colOff>
          <xdr:row>35</xdr:row>
          <xdr:rowOff>66675</xdr:rowOff>
        </xdr:to>
        <xdr:sp macro="" textlink="">
          <xdr:nvSpPr>
            <xdr:cNvPr id="244739" name="Option Button 3" hidden="1">
              <a:extLst>
                <a:ext uri="{63B3BB69-23CF-44E3-9099-C40C66FF867C}">
                  <a14:compatExt spid="_x0000_s244739"/>
                </a:ext>
                <a:ext uri="{FF2B5EF4-FFF2-40B4-BE49-F238E27FC236}">
                  <a16:creationId xmlns:a16="http://schemas.microsoft.com/office/drawing/2014/main" id="{00000000-0008-0000-14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xdr:row>
          <xdr:rowOff>200025</xdr:rowOff>
        </xdr:from>
        <xdr:to>
          <xdr:col>16</xdr:col>
          <xdr:colOff>95250</xdr:colOff>
          <xdr:row>35</xdr:row>
          <xdr:rowOff>66675</xdr:rowOff>
        </xdr:to>
        <xdr:sp macro="" textlink="">
          <xdr:nvSpPr>
            <xdr:cNvPr id="244740" name="Option Button 4" hidden="1">
              <a:extLst>
                <a:ext uri="{63B3BB69-23CF-44E3-9099-C40C66FF867C}">
                  <a14:compatExt spid="_x0000_s244740"/>
                </a:ext>
                <a:ext uri="{FF2B5EF4-FFF2-40B4-BE49-F238E27FC236}">
                  <a16:creationId xmlns:a16="http://schemas.microsoft.com/office/drawing/2014/main" id="{00000000-0008-0000-14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247650</xdr:rowOff>
        </xdr:from>
        <xdr:to>
          <xdr:col>9</xdr:col>
          <xdr:colOff>552450</xdr:colOff>
          <xdr:row>13</xdr:row>
          <xdr:rowOff>28575</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4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333375</xdr:colOff>
          <xdr:row>20</xdr:row>
          <xdr:rowOff>180975</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5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54940</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7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9525</xdr:colOff>
      <xdr:row>92</xdr:row>
      <xdr:rowOff>209550</xdr:rowOff>
    </xdr:from>
    <xdr:to>
      <xdr:col>6</xdr:col>
      <xdr:colOff>0</xdr:colOff>
      <xdr:row>104</xdr:row>
      <xdr:rowOff>53340</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402431</xdr:colOff>
      <xdr:row>53</xdr:row>
      <xdr:rowOff>140017</xdr:rowOff>
    </xdr:from>
    <xdr:to>
      <xdr:col>8</xdr:col>
      <xdr:colOff>284321</xdr:colOff>
      <xdr:row>65</xdr:row>
      <xdr:rowOff>132397</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951" r="10143"/>
        <a:stretch>
          <a:fillRect/>
        </a:stretch>
      </xdr:blipFill>
      <xdr:spPr bwMode="auto">
        <a:xfrm>
          <a:off x="2783681" y="10950892"/>
          <a:ext cx="2276475"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437197</xdr:colOff>
      <xdr:row>37</xdr:row>
      <xdr:rowOff>130036</xdr:rowOff>
    </xdr:from>
    <xdr:to>
      <xdr:col>11</xdr:col>
      <xdr:colOff>432434</xdr:colOff>
      <xdr:row>50</xdr:row>
      <xdr:rowOff>35718</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500" r="16701"/>
        <a:stretch>
          <a:fillRect/>
        </a:stretch>
      </xdr:blipFill>
      <xdr:spPr bwMode="auto">
        <a:xfrm>
          <a:off x="5199697" y="8035786"/>
          <a:ext cx="1777365" cy="222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38100</xdr:rowOff>
    </xdr:from>
    <xdr:to>
      <xdr:col>3</xdr:col>
      <xdr:colOff>555307</xdr:colOff>
      <xdr:row>50</xdr:row>
      <xdr:rowOff>35719</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100" r="22099"/>
        <a:stretch>
          <a:fillRect/>
        </a:stretch>
      </xdr:blipFill>
      <xdr:spPr bwMode="auto">
        <a:xfrm>
          <a:off x="623888" y="8122444"/>
          <a:ext cx="1709737"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376237</xdr:colOff>
      <xdr:row>38</xdr:row>
      <xdr:rowOff>30479</xdr:rowOff>
    </xdr:from>
    <xdr:to>
      <xdr:col>7</xdr:col>
      <xdr:colOff>438149</xdr:colOff>
      <xdr:row>50</xdr:row>
      <xdr:rowOff>22383</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25800" r="17500"/>
        <a:stretch>
          <a:fillRect/>
        </a:stretch>
      </xdr:blipFill>
      <xdr:spPr bwMode="auto">
        <a:xfrm>
          <a:off x="2757487" y="8114823"/>
          <a:ext cx="1855470"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428625</xdr:colOff>
      <xdr:row>9</xdr:row>
      <xdr:rowOff>152400</xdr:rowOff>
    </xdr:from>
    <xdr:to>
      <xdr:col>15</xdr:col>
      <xdr:colOff>514350</xdr:colOff>
      <xdr:row>20</xdr:row>
      <xdr:rowOff>133350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05775" y="1990725"/>
          <a:ext cx="12668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15240</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17145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18540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14"/>
        <a:stretch>
          <a:fillRect/>
        </a:stretch>
      </xdr:blipFill>
      <xdr:spPr>
        <a:xfrm>
          <a:off x="388620" y="175260"/>
          <a:ext cx="2578860" cy="541020"/>
        </a:xfrm>
        <a:prstGeom prst="rect">
          <a:avLst/>
        </a:prstGeom>
      </xdr:spPr>
    </xdr:pic>
    <xdr:clientData/>
  </xdr:twoCellAnchor>
  <xdr:twoCellAnchor editAs="oneCell">
    <xdr:from>
      <xdr:col>0</xdr:col>
      <xdr:colOff>486252</xdr:colOff>
      <xdr:row>72</xdr:row>
      <xdr:rowOff>69533</xdr:rowOff>
    </xdr:from>
    <xdr:to>
      <xdr:col>4</xdr:col>
      <xdr:colOff>513260</xdr:colOff>
      <xdr:row>89</xdr:row>
      <xdr:rowOff>133307</xdr:rowOff>
    </xdr:to>
    <xdr:pic>
      <xdr:nvPicPr>
        <xdr:cNvPr id="7" name="Obrázek 6">
          <a:extLst>
            <a:ext uri="{FF2B5EF4-FFF2-40B4-BE49-F238E27FC236}">
              <a16:creationId xmlns:a16="http://schemas.microsoft.com/office/drawing/2014/main" id="{DC48F3B7-833B-EF58-CFF6-9A09C075B368}"/>
            </a:ext>
          </a:extLst>
        </xdr:cNvPr>
        <xdr:cNvPicPr>
          <a:picLocks noChangeAspect="1"/>
        </xdr:cNvPicPr>
      </xdr:nvPicPr>
      <xdr:blipFill>
        <a:blip xmlns:r="http://schemas.openxmlformats.org/officeDocument/2006/relationships" r:embed="rId15"/>
        <a:stretch>
          <a:fillRect/>
        </a:stretch>
      </xdr:blipFill>
      <xdr:spPr>
        <a:xfrm>
          <a:off x="486252" y="14321314"/>
          <a:ext cx="2419688" cy="3099868"/>
        </a:xfrm>
        <a:prstGeom prst="rect">
          <a:avLst/>
        </a:prstGeom>
      </xdr:spPr>
    </xdr:pic>
    <xdr:clientData/>
  </xdr:twoCellAnchor>
  <xdr:twoCellAnchor editAs="oneCell">
    <xdr:from>
      <xdr:col>20</xdr:col>
      <xdr:colOff>372747</xdr:colOff>
      <xdr:row>8</xdr:row>
      <xdr:rowOff>21908</xdr:rowOff>
    </xdr:from>
    <xdr:to>
      <xdr:col>31</xdr:col>
      <xdr:colOff>321468</xdr:colOff>
      <xdr:row>50</xdr:row>
      <xdr:rowOff>126175</xdr:rowOff>
    </xdr:to>
    <xdr:pic>
      <xdr:nvPicPr>
        <xdr:cNvPr id="11" name="Obrázek 10">
          <a:extLst>
            <a:ext uri="{FF2B5EF4-FFF2-40B4-BE49-F238E27FC236}">
              <a16:creationId xmlns:a16="http://schemas.microsoft.com/office/drawing/2014/main" id="{661BD143-1299-9ACD-7E03-25D66F5FA3C2}"/>
            </a:ext>
          </a:extLst>
        </xdr:cNvPr>
        <xdr:cNvPicPr>
          <a:picLocks noChangeAspect="1"/>
        </xdr:cNvPicPr>
      </xdr:nvPicPr>
      <xdr:blipFill>
        <a:blip xmlns:r="http://schemas.openxmlformats.org/officeDocument/2006/relationships" r:embed="rId16"/>
        <a:stretch>
          <a:fillRect/>
        </a:stretch>
      </xdr:blipFill>
      <xdr:spPr>
        <a:xfrm>
          <a:off x="12278997" y="1676877"/>
          <a:ext cx="6604315" cy="8676767"/>
        </a:xfrm>
        <a:prstGeom prst="rect">
          <a:avLst/>
        </a:prstGeom>
      </xdr:spPr>
    </xdr:pic>
    <xdr:clientData/>
  </xdr:twoCellAnchor>
  <xdr:twoCellAnchor editAs="oneCell">
    <xdr:from>
      <xdr:col>20</xdr:col>
      <xdr:colOff>519568</xdr:colOff>
      <xdr:row>54</xdr:row>
      <xdr:rowOff>176689</xdr:rowOff>
    </xdr:from>
    <xdr:to>
      <xdr:col>32</xdr:col>
      <xdr:colOff>0</xdr:colOff>
      <xdr:row>85</xdr:row>
      <xdr:rowOff>170498</xdr:rowOff>
    </xdr:to>
    <xdr:pic>
      <xdr:nvPicPr>
        <xdr:cNvPr id="2" name="Obrázek 1">
          <a:extLst>
            <a:ext uri="{FF2B5EF4-FFF2-40B4-BE49-F238E27FC236}">
              <a16:creationId xmlns:a16="http://schemas.microsoft.com/office/drawing/2014/main" id="{45FD4570-6E4A-435C-9E01-4C8DE85DE503}"/>
            </a:ext>
          </a:extLst>
        </xdr:cNvPr>
        <xdr:cNvPicPr>
          <a:picLocks noChangeAspect="1"/>
        </xdr:cNvPicPr>
      </xdr:nvPicPr>
      <xdr:blipFill>
        <a:blip xmlns:r="http://schemas.openxmlformats.org/officeDocument/2006/relationships" r:embed="rId17"/>
        <a:stretch>
          <a:fillRect/>
        </a:stretch>
      </xdr:blipFill>
      <xdr:spPr>
        <a:xfrm>
          <a:off x="12425818" y="11166158"/>
          <a:ext cx="6767057" cy="55778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259724"/>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139065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259725"/>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62865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259726"/>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259727"/>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259728"/>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259729"/>
                </a:ext>
              </a:extLst>
            </xdr:cNvPicPr>
          </xdr:nvPicPr>
          <xdr:blipFill>
            <a:blip xmlns:r="http://schemas.openxmlformats.org/officeDocument/2006/relationships" r:embed="rId3"/>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259730"/>
                </a:ext>
              </a:extLst>
            </xdr:cNvPicPr>
          </xdr:nvPicPr>
          <xdr:blipFill>
            <a:blip xmlns:r="http://schemas.openxmlformats.org/officeDocument/2006/relationships" r:embed="rId6"/>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53340</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259731"/>
                </a:ext>
              </a:extLst>
            </xdr:cNvPicPr>
          </xdr:nvPicPr>
          <xdr:blipFill>
            <a:blip xmlns:r="http://schemas.openxmlformats.org/officeDocument/2006/relationships" r:embed="rId7"/>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259732"/>
                </a:ext>
              </a:extLst>
            </xdr:cNvPicPr>
          </xdr:nvPicPr>
          <xdr:blipFill>
            <a:blip xmlns:r="http://schemas.openxmlformats.org/officeDocument/2006/relationships" r:embed="rId3"/>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259733"/>
                </a:ext>
              </a:extLst>
            </xdr:cNvPicPr>
          </xdr:nvPicPr>
          <xdr:blipFill>
            <a:blip xmlns:r="http://schemas.openxmlformats.org/officeDocument/2006/relationships" r:embed="rId8"/>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53340</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259734"/>
                </a:ext>
              </a:extLst>
            </xdr:cNvPicPr>
          </xdr:nvPicPr>
          <xdr:blipFill>
            <a:blip xmlns:r="http://schemas.openxmlformats.org/officeDocument/2006/relationships" r:embed="rId9"/>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62865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259735"/>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259736"/>
                </a:ext>
              </a:extLst>
            </xdr:cNvPicPr>
          </xdr:nvPicPr>
          <xdr:blipFill>
            <a:blip xmlns:r="http://schemas.openxmlformats.org/officeDocument/2006/relationships" r:embed="rId10"/>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53340</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259737"/>
                </a:ext>
              </a:extLst>
            </xdr:cNvPicPr>
          </xdr:nvPicPr>
          <xdr:blipFill>
            <a:blip xmlns:r="http://schemas.openxmlformats.org/officeDocument/2006/relationships" r:embed="rId11"/>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62865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259738"/>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259739"/>
                </a:ext>
              </a:extLst>
            </xdr:cNvPicPr>
          </xdr:nvPicPr>
          <xdr:blipFill>
            <a:blip xmlns:r="http://schemas.openxmlformats.org/officeDocument/2006/relationships" r:embed="rId12"/>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53340</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259740"/>
                </a:ext>
              </a:extLst>
            </xdr:cNvPicPr>
          </xdr:nvPicPr>
          <xdr:blipFill>
            <a:blip xmlns:r="http://schemas.openxmlformats.org/officeDocument/2006/relationships" r:embed="rId13"/>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62865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259741"/>
                </a:ext>
              </a:extLst>
            </xdr:cNvPicPr>
          </xdr:nvPicPr>
          <xdr:blipFill>
            <a:blip xmlns:r="http://schemas.openxmlformats.org/officeDocument/2006/relationships" r:embed="rId14"/>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259742"/>
                </a:ext>
              </a:extLst>
            </xdr:cNvPicPr>
          </xdr:nvPicPr>
          <xdr:blipFill>
            <a:blip xmlns:r="http://schemas.openxmlformats.org/officeDocument/2006/relationships" r:embed="rId15"/>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287655</xdr:colOff>
          <xdr:row>35</xdr:row>
          <xdr:rowOff>123825</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259743"/>
                </a:ext>
              </a:extLst>
            </xdr:cNvPicPr>
          </xdr:nvPicPr>
          <xdr:blipFill>
            <a:blip xmlns:r="http://schemas.openxmlformats.org/officeDocument/2006/relationships" r:embed="rId16"/>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62865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259744"/>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259745"/>
                </a:ext>
              </a:extLst>
            </xdr:cNvPicPr>
          </xdr:nvPicPr>
          <xdr:blipFill>
            <a:blip xmlns:r="http://schemas.openxmlformats.org/officeDocument/2006/relationships" r:embed="rId17"/>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259746"/>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60960</xdr:colOff>
      <xdr:row>0</xdr:row>
      <xdr:rowOff>167640</xdr:rowOff>
    </xdr:from>
    <xdr:to>
      <xdr:col>8</xdr:col>
      <xdr:colOff>103059</xdr:colOff>
      <xdr:row>3</xdr:row>
      <xdr:rowOff>76240</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8"/>
        <a:stretch>
          <a:fillRect/>
        </a:stretch>
      </xdr:blipFill>
      <xdr:spPr>
        <a:xfrm>
          <a:off x="365760" y="167640"/>
          <a:ext cx="2179509" cy="4572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275420"/>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275421"/>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275422"/>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275423"/>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275424"/>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275425"/>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275426"/>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275427"/>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275428"/>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275429"/>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275430"/>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275431"/>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260712</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275432"/>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275433"/>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275434"/>
                </a:ext>
              </a:extLst>
            </xdr:cNvPicPr>
          </xdr:nvPicPr>
          <xdr:blipFill>
            <a:blip xmlns:r="http://schemas.openxmlformats.org/officeDocument/2006/relationships" r:embed="rId8"/>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275435"/>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275436"/>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275437"/>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275438"/>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275439"/>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275440"/>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275441"/>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275442"/>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275443"/>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275444"/>
                </a:ext>
              </a:extLst>
            </xdr:cNvPicPr>
          </xdr:nvPicPr>
          <xdr:blipFill>
            <a:blip xmlns:r="http://schemas.openxmlformats.org/officeDocument/2006/relationships" r:embed="rId9"/>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260712</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275445"/>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28575</xdr:colOff>
          <xdr:row>33</xdr:row>
          <xdr:rowOff>28575</xdr:rowOff>
        </xdr:from>
        <xdr:to>
          <xdr:col>26</xdr:col>
          <xdr:colOff>402475</xdr:colOff>
          <xdr:row>40</xdr:row>
          <xdr:rowOff>225137</xdr:rowOff>
        </xdr:to>
        <mc:AlternateContent>
          <mc:Choice Requires="a14">
            <xdr:pic>
              <xdr:nvPicPr>
                <xdr:cNvPr id="15" name="Obrázek 56">
                  <a:extLst>
                    <a:ext uri="{FF2B5EF4-FFF2-40B4-BE49-F238E27FC236}">
                      <a16:creationId xmlns:a16="http://schemas.microsoft.com/office/drawing/2014/main" id="{54616A5F-AF2F-4FEC-9241-E0A62C438811}"/>
                    </a:ext>
                  </a:extLst>
                </xdr:cNvPr>
                <xdr:cNvPicPr>
                  <a:picLocks noChangeAspect="1" noChangeArrowheads="1"/>
                  <a:extLst>
                    <a:ext uri="{84589F7E-364E-4C9E-8A38-B11213B215E9}">
                      <a14:cameraTool cellRange="Ram_1!$S$25" spid="_x0000_s2276353"/>
                    </a:ext>
                  </a:extLst>
                </xdr:cNvPicPr>
              </xdr:nvPicPr>
              <xdr:blipFill>
                <a:blip xmlns:r="http://schemas.openxmlformats.org/officeDocument/2006/relationships" r:embed="rId1"/>
                <a:srcRect/>
                <a:stretch>
                  <a:fillRect/>
                </a:stretch>
              </xdr:blipFill>
              <xdr:spPr bwMode="auto">
                <a:xfrm>
                  <a:off x="6349711" y="6765348"/>
                  <a:ext cx="2452082" cy="140883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18</xdr:col>
          <xdr:colOff>162791</xdr:colOff>
          <xdr:row>72</xdr:row>
          <xdr:rowOff>44335</xdr:rowOff>
        </xdr:to>
        <mc:AlternateContent>
          <mc:Choice Requires="a14">
            <xdr:pic>
              <xdr:nvPicPr>
                <xdr:cNvPr id="16" name="Obrázek 57">
                  <a:extLst>
                    <a:ext uri="{FF2B5EF4-FFF2-40B4-BE49-F238E27FC236}">
                      <a16:creationId xmlns:a16="http://schemas.microsoft.com/office/drawing/2014/main" id="{699C5943-D1ED-42AE-B2D6-9132EB86811F}"/>
                    </a:ext>
                  </a:extLst>
                </xdr:cNvPr>
                <xdr:cNvPicPr>
                  <a:picLocks noChangeAspect="1" noChangeArrowheads="1"/>
                  <a:extLst>
                    <a:ext uri="{84589F7E-364E-4C9E-8A38-B11213B215E9}">
                      <a14:cameraTool cellRange="Ram_2!$AA$6:$AP$28" spid="_x0000_s2276354"/>
                    </a:ext>
                  </a:extLst>
                </xdr:cNvPicPr>
              </xdr:nvPicPr>
              <xdr:blipFill>
                <a:blip xmlns:r="http://schemas.openxmlformats.org/officeDocument/2006/relationships" r:embed="rId2"/>
                <a:srcRect/>
                <a:stretch>
                  <a:fillRect/>
                </a:stretch>
              </xdr:blipFill>
              <xdr:spPr bwMode="auto">
                <a:xfrm>
                  <a:off x="166255" y="9310255"/>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18</xdr:col>
          <xdr:colOff>162791</xdr:colOff>
          <xdr:row>108</xdr:row>
          <xdr:rowOff>44334</xdr:rowOff>
        </xdr:to>
        <mc:AlternateContent>
          <mc:Choice Requires="a14">
            <xdr:pic>
              <xdr:nvPicPr>
                <xdr:cNvPr id="17" name="Obrázek 59">
                  <a:extLst>
                    <a:ext uri="{FF2B5EF4-FFF2-40B4-BE49-F238E27FC236}">
                      <a16:creationId xmlns:a16="http://schemas.microsoft.com/office/drawing/2014/main" id="{8AD9180F-6774-42F6-92CD-97E57719F3DC}"/>
                    </a:ext>
                  </a:extLst>
                </xdr:cNvPr>
                <xdr:cNvPicPr>
                  <a:picLocks noChangeAspect="1" noChangeArrowheads="1"/>
                  <a:extLst>
                    <a:ext uri="{84589F7E-364E-4C9E-8A38-B11213B215E9}">
                      <a14:cameraTool cellRange="Ram_3!$AA$6:$AP$28" spid="_x0000_s2276355"/>
                    </a:ext>
                  </a:extLst>
                </xdr:cNvPicPr>
              </xdr:nvPicPr>
              <xdr:blipFill>
                <a:blip xmlns:r="http://schemas.openxmlformats.org/officeDocument/2006/relationships" r:embed="rId3"/>
                <a:srcRect/>
                <a:stretch>
                  <a:fillRect/>
                </a:stretch>
              </xdr:blipFill>
              <xdr:spPr bwMode="auto">
                <a:xfrm>
                  <a:off x="166255" y="16750145"/>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18</xdr:col>
          <xdr:colOff>162791</xdr:colOff>
          <xdr:row>144</xdr:row>
          <xdr:rowOff>44334</xdr:rowOff>
        </xdr:to>
        <mc:AlternateContent>
          <mc:Choice Requires="a14">
            <xdr:pic>
              <xdr:nvPicPr>
                <xdr:cNvPr id="18" name="Obrázek 61">
                  <a:extLst>
                    <a:ext uri="{FF2B5EF4-FFF2-40B4-BE49-F238E27FC236}">
                      <a16:creationId xmlns:a16="http://schemas.microsoft.com/office/drawing/2014/main" id="{FB5EB656-2FE6-4C57-8C35-52B6C3AB180A}"/>
                    </a:ext>
                  </a:extLst>
                </xdr:cNvPr>
                <xdr:cNvPicPr>
                  <a:picLocks noChangeAspect="1" noChangeArrowheads="1"/>
                  <a:extLst>
                    <a:ext uri="{84589F7E-364E-4C9E-8A38-B11213B215E9}">
                      <a14:cameraTool cellRange="Ram_4!$AA$6:$AP$28" spid="_x0000_s2276356"/>
                    </a:ext>
                  </a:extLst>
                </xdr:cNvPicPr>
              </xdr:nvPicPr>
              <xdr:blipFill>
                <a:blip xmlns:r="http://schemas.openxmlformats.org/officeDocument/2006/relationships" r:embed="rId4"/>
                <a:srcRect/>
                <a:stretch>
                  <a:fillRect/>
                </a:stretch>
              </xdr:blipFill>
              <xdr:spPr bwMode="auto">
                <a:xfrm>
                  <a:off x="166255" y="24190036"/>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153</xdr:row>
          <xdr:rowOff>0</xdr:rowOff>
        </xdr:from>
        <xdr:to>
          <xdr:col>18</xdr:col>
          <xdr:colOff>162791</xdr:colOff>
          <xdr:row>180</xdr:row>
          <xdr:rowOff>44334</xdr:rowOff>
        </xdr:to>
        <mc:AlternateContent>
          <mc:Choice Requires="a14">
            <xdr:pic>
              <xdr:nvPicPr>
                <xdr:cNvPr id="19" name="Obrázek 63">
                  <a:extLst>
                    <a:ext uri="{FF2B5EF4-FFF2-40B4-BE49-F238E27FC236}">
                      <a16:creationId xmlns:a16="http://schemas.microsoft.com/office/drawing/2014/main" id="{B093E380-4350-4C03-884A-95E70C171FD4}"/>
                    </a:ext>
                  </a:extLst>
                </xdr:cNvPr>
                <xdr:cNvPicPr>
                  <a:picLocks noChangeAspect="1" noChangeArrowheads="1"/>
                  <a:extLst>
                    <a:ext uri="{84589F7E-364E-4C9E-8A38-B11213B215E9}">
                      <a14:cameraTool cellRange="Ram_5!$AA$6:$AP$28" spid="_x0000_s2276357"/>
                    </a:ext>
                  </a:extLst>
                </xdr:cNvPicPr>
              </xdr:nvPicPr>
              <xdr:blipFill>
                <a:blip xmlns:r="http://schemas.openxmlformats.org/officeDocument/2006/relationships" r:embed="rId5"/>
                <a:srcRect/>
                <a:stretch>
                  <a:fillRect/>
                </a:stretch>
              </xdr:blipFill>
              <xdr:spPr bwMode="auto">
                <a:xfrm>
                  <a:off x="166255" y="31629927"/>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18</xdr:col>
          <xdr:colOff>162791</xdr:colOff>
          <xdr:row>216</xdr:row>
          <xdr:rowOff>44334</xdr:rowOff>
        </xdr:to>
        <mc:AlternateContent>
          <mc:Choice Requires="a14">
            <xdr:pic>
              <xdr:nvPicPr>
                <xdr:cNvPr id="20" name="Obrázek 65">
                  <a:extLst>
                    <a:ext uri="{FF2B5EF4-FFF2-40B4-BE49-F238E27FC236}">
                      <a16:creationId xmlns:a16="http://schemas.microsoft.com/office/drawing/2014/main" id="{D6EB714D-9B84-456C-BC2E-1FDB790F82C0}"/>
                    </a:ext>
                  </a:extLst>
                </xdr:cNvPr>
                <xdr:cNvPicPr>
                  <a:picLocks noChangeAspect="1" noChangeArrowheads="1"/>
                  <a:extLst>
                    <a:ext uri="{84589F7E-364E-4C9E-8A38-B11213B215E9}">
                      <a14:cameraTool cellRange="Ram_6!$AA$6:$AP$28" spid="_x0000_s2276358"/>
                    </a:ext>
                  </a:extLst>
                </xdr:cNvPicPr>
              </xdr:nvPicPr>
              <xdr:blipFill>
                <a:blip xmlns:r="http://schemas.openxmlformats.org/officeDocument/2006/relationships" r:embed="rId6"/>
                <a:srcRect/>
                <a:stretch>
                  <a:fillRect/>
                </a:stretch>
              </xdr:blipFill>
              <xdr:spPr bwMode="auto">
                <a:xfrm>
                  <a:off x="166255" y="39069818"/>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69</xdr:row>
          <xdr:rowOff>-1</xdr:rowOff>
        </xdr:from>
        <xdr:to>
          <xdr:col>27</xdr:col>
          <xdr:colOff>50965</xdr:colOff>
          <xdr:row>76</xdr:row>
          <xdr:rowOff>259771</xdr:rowOff>
        </xdr:to>
        <mc:AlternateContent>
          <mc:Choice Requires="a14">
            <xdr:pic>
              <xdr:nvPicPr>
                <xdr:cNvPr id="22" name="Obrázek 69">
                  <a:extLst>
                    <a:ext uri="{FF2B5EF4-FFF2-40B4-BE49-F238E27FC236}">
                      <a16:creationId xmlns:a16="http://schemas.microsoft.com/office/drawing/2014/main" id="{451DC1B3-5D3B-4B23-B5B2-6C10E1AE6AD8}"/>
                    </a:ext>
                  </a:extLst>
                </xdr:cNvPr>
                <xdr:cNvPicPr>
                  <a:picLocks noChangeAspect="1" noChangeArrowheads="1"/>
                  <a:extLst>
                    <a:ext uri="{84589F7E-364E-4C9E-8A38-B11213B215E9}">
                      <a14:cameraTool cellRange="Ram_2!$S$25" spid="_x0000_s2276359"/>
                    </a:ext>
                  </a:extLst>
                </xdr:cNvPicPr>
              </xdr:nvPicPr>
              <xdr:blipFill>
                <a:blip xmlns:r="http://schemas.openxmlformats.org/officeDocument/2006/relationships" r:embed="rId1"/>
                <a:srcRect/>
                <a:stretch>
                  <a:fillRect/>
                </a:stretch>
              </xdr:blipFill>
              <xdr:spPr bwMode="auto">
                <a:xfrm>
                  <a:off x="6321136" y="14079681"/>
                  <a:ext cx="2562102" cy="147204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105</xdr:row>
          <xdr:rowOff>0</xdr:rowOff>
        </xdr:from>
        <xdr:to>
          <xdr:col>27</xdr:col>
          <xdr:colOff>111249</xdr:colOff>
          <xdr:row>113</xdr:row>
          <xdr:rowOff>34637</xdr:rowOff>
        </xdr:to>
        <mc:AlternateContent>
          <mc:Choice Requires="a14">
            <xdr:pic>
              <xdr:nvPicPr>
                <xdr:cNvPr id="23" name="Obrázek 70">
                  <a:extLst>
                    <a:ext uri="{FF2B5EF4-FFF2-40B4-BE49-F238E27FC236}">
                      <a16:creationId xmlns:a16="http://schemas.microsoft.com/office/drawing/2014/main" id="{22612F7D-6517-4E51-B356-AD793389FB3A}"/>
                    </a:ext>
                  </a:extLst>
                </xdr:cNvPr>
                <xdr:cNvPicPr>
                  <a:picLocks noChangeAspect="1" noChangeArrowheads="1"/>
                  <a:extLst>
                    <a:ext uri="{84589F7E-364E-4C9E-8A38-B11213B215E9}">
                      <a14:cameraTool cellRange="Ram_3!$S$25" spid="_x0000_s2276360"/>
                    </a:ext>
                  </a:extLst>
                </xdr:cNvPicPr>
              </xdr:nvPicPr>
              <xdr:blipFill>
                <a:blip xmlns:r="http://schemas.openxmlformats.org/officeDocument/2006/relationships" r:embed="rId1"/>
                <a:srcRect/>
                <a:stretch>
                  <a:fillRect/>
                </a:stretch>
              </xdr:blipFill>
              <xdr:spPr bwMode="auto">
                <a:xfrm>
                  <a:off x="6321135" y="21422591"/>
                  <a:ext cx="2622387" cy="15066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141</xdr:row>
          <xdr:rowOff>0</xdr:rowOff>
        </xdr:from>
        <xdr:to>
          <xdr:col>27</xdr:col>
          <xdr:colOff>34635</xdr:colOff>
          <xdr:row>148</xdr:row>
          <xdr:rowOff>250391</xdr:rowOff>
        </xdr:to>
        <mc:AlternateContent>
          <mc:Choice Requires="a14">
            <xdr:pic>
              <xdr:nvPicPr>
                <xdr:cNvPr id="24" name="Obrázek 71">
                  <a:extLst>
                    <a:ext uri="{FF2B5EF4-FFF2-40B4-BE49-F238E27FC236}">
                      <a16:creationId xmlns:a16="http://schemas.microsoft.com/office/drawing/2014/main" id="{4EDB4C7E-EC95-4E66-8E17-031C9F45B329}"/>
                    </a:ext>
                  </a:extLst>
                </xdr:cNvPr>
                <xdr:cNvPicPr>
                  <a:picLocks noChangeAspect="1" noChangeArrowheads="1"/>
                  <a:extLst>
                    <a:ext uri="{84589F7E-364E-4C9E-8A38-B11213B215E9}">
                      <a14:cameraTool cellRange="Ram_4!$S$25" spid="_x0000_s2276361"/>
                    </a:ext>
                  </a:extLst>
                </xdr:cNvPicPr>
              </xdr:nvPicPr>
              <xdr:blipFill>
                <a:blip xmlns:r="http://schemas.openxmlformats.org/officeDocument/2006/relationships" r:embed="rId1"/>
                <a:srcRect/>
                <a:stretch>
                  <a:fillRect/>
                </a:stretch>
              </xdr:blipFill>
              <xdr:spPr bwMode="auto">
                <a:xfrm>
                  <a:off x="6321135" y="28765500"/>
                  <a:ext cx="2545773" cy="146266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51954</xdr:colOff>
          <xdr:row>176</xdr:row>
          <xdr:rowOff>155863</xdr:rowOff>
        </xdr:from>
        <xdr:to>
          <xdr:col>27</xdr:col>
          <xdr:colOff>102920</xdr:colOff>
          <xdr:row>184</xdr:row>
          <xdr:rowOff>242454</xdr:rowOff>
        </xdr:to>
        <mc:AlternateContent>
          <mc:Choice Requires="a14">
            <xdr:pic>
              <xdr:nvPicPr>
                <xdr:cNvPr id="25" name="Obrázek 72">
                  <a:extLst>
                    <a:ext uri="{FF2B5EF4-FFF2-40B4-BE49-F238E27FC236}">
                      <a16:creationId xmlns:a16="http://schemas.microsoft.com/office/drawing/2014/main" id="{6A7932D2-5987-4473-9F55-C8222BD1ECF5}"/>
                    </a:ext>
                  </a:extLst>
                </xdr:cNvPr>
                <xdr:cNvPicPr>
                  <a:picLocks noChangeAspect="1" noChangeArrowheads="1"/>
                  <a:extLst>
                    <a:ext uri="{84589F7E-364E-4C9E-8A38-B11213B215E9}">
                      <a14:cameraTool cellRange="Ram_5!$S$25" spid="_x0000_s2276362"/>
                    </a:ext>
                  </a:extLst>
                </xdr:cNvPicPr>
              </xdr:nvPicPr>
              <xdr:blipFill>
                <a:blip xmlns:r="http://schemas.openxmlformats.org/officeDocument/2006/relationships" r:embed="rId1"/>
                <a:srcRect/>
                <a:stretch>
                  <a:fillRect/>
                </a:stretch>
              </xdr:blipFill>
              <xdr:spPr bwMode="auto">
                <a:xfrm>
                  <a:off x="6373090" y="36091090"/>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18</xdr:col>
          <xdr:colOff>106796</xdr:colOff>
          <xdr:row>36</xdr:row>
          <xdr:rowOff>160674</xdr:rowOff>
        </xdr:to>
        <mc:AlternateContent>
          <mc:Choice Requires="a14">
            <xdr:pic>
              <xdr:nvPicPr>
                <xdr:cNvPr id="26" name="Obrázek 74">
                  <a:extLst>
                    <a:ext uri="{FF2B5EF4-FFF2-40B4-BE49-F238E27FC236}">
                      <a16:creationId xmlns:a16="http://schemas.microsoft.com/office/drawing/2014/main" id="{2C3DA179-CB2E-4A71-8903-8BB7BCB1A55D}"/>
                    </a:ext>
                  </a:extLst>
                </xdr:cNvPr>
                <xdr:cNvPicPr>
                  <a:picLocks noChangeAspect="1" noChangeArrowheads="1"/>
                  <a:extLst>
                    <a:ext uri="{84589F7E-364E-4C9E-8A38-B11213B215E9}">
                      <a14:cameraTool cellRange="Ram_1!$AA$6:$AP$28" spid="_x0000_s2276363"/>
                    </a:ext>
                  </a:extLst>
                </xdr:cNvPicPr>
              </xdr:nvPicPr>
              <xdr:blipFill>
                <a:blip xmlns:r="http://schemas.openxmlformats.org/officeDocument/2006/relationships" r:embed="rId7"/>
                <a:srcRect/>
                <a:stretch>
                  <a:fillRect/>
                </a:stretch>
              </xdr:blipFill>
              <xdr:spPr bwMode="auto">
                <a:xfrm>
                  <a:off x="173182" y="1818409"/>
                  <a:ext cx="5683250" cy="559858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277091</xdr:colOff>
          <xdr:row>213</xdr:row>
          <xdr:rowOff>34637</xdr:rowOff>
        </xdr:from>
        <xdr:to>
          <xdr:col>27</xdr:col>
          <xdr:colOff>33648</xdr:colOff>
          <xdr:row>221</xdr:row>
          <xdr:rowOff>34637</xdr:rowOff>
        </xdr:to>
        <mc:AlternateContent>
          <mc:Choice Requires="a14">
            <xdr:pic>
              <xdr:nvPicPr>
                <xdr:cNvPr id="28" name="Obrázek 72">
                  <a:extLst>
                    <a:ext uri="{FF2B5EF4-FFF2-40B4-BE49-F238E27FC236}">
                      <a16:creationId xmlns:a16="http://schemas.microsoft.com/office/drawing/2014/main" id="{84FA87DD-6E6E-4549-A33A-1733975BE935}"/>
                    </a:ext>
                  </a:extLst>
                </xdr:cNvPr>
                <xdr:cNvPicPr>
                  <a:picLocks noChangeAspect="1" noChangeArrowheads="1"/>
                  <a:extLst>
                    <a:ext uri="{84589F7E-364E-4C9E-8A38-B11213B215E9}">
                      <a14:cameraTool cellRange="Ram_6!$S$25" spid="_x0000_s2276364"/>
                    </a:ext>
                  </a:extLst>
                </xdr:cNvPicPr>
              </xdr:nvPicPr>
              <xdr:blipFill>
                <a:blip xmlns:r="http://schemas.openxmlformats.org/officeDocument/2006/relationships" r:embed="rId1"/>
                <a:srcRect/>
                <a:stretch>
                  <a:fillRect/>
                </a:stretch>
              </xdr:blipFill>
              <xdr:spPr bwMode="auto">
                <a:xfrm>
                  <a:off x="6303818" y="43485955"/>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209550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274320</xdr:colOff>
      <xdr:row>0</xdr:row>
      <xdr:rowOff>144780</xdr:rowOff>
    </xdr:from>
    <xdr:to>
      <xdr:col>4</xdr:col>
      <xdr:colOff>244029</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274320" y="144780"/>
          <a:ext cx="2179509" cy="45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26</xdr:row>
          <xdr:rowOff>628650</xdr:rowOff>
        </xdr:from>
        <xdr:to>
          <xdr:col>12</xdr:col>
          <xdr:colOff>428625</xdr:colOff>
          <xdr:row>28</xdr:row>
          <xdr:rowOff>171450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295464</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8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8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2163125"/>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2163126"/>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96944</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2220253"/>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17568</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2220254"/>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436245</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314325</xdr:colOff>
          <xdr:row>7</xdr:row>
          <xdr:rowOff>238125</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434340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101517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1956833"/>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129540</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1956834"/>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200025</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19962</xdr:colOff>
          <xdr:row>16</xdr:row>
          <xdr:rowOff>172508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2023192"/>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20109</xdr:colOff>
          <xdr:row>26</xdr:row>
          <xdr:rowOff>207857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2023193"/>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6.xml"/><Relationship Id="rId7" Type="http://schemas.openxmlformats.org/officeDocument/2006/relationships/ctrlProp" Target="../ctrlProps/ctrlProp20.xml"/><Relationship Id="rId2" Type="http://schemas.openxmlformats.org/officeDocument/2006/relationships/vmlDrawing" Target="../drawings/vmlDrawing10.vml"/><Relationship Id="rId1" Type="http://schemas.openxmlformats.org/officeDocument/2006/relationships/drawing" Target="../drawings/drawing12.xml"/><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trlProp" Target="../ctrlProps/ctrlProp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trlProp" Target="../ctrlProps/ctrlProp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hyperlink" Target="mailto:objednavky@demos-trade.com" TargetMode="External"/><Relationship Id="rId2" Type="http://schemas.openxmlformats.org/officeDocument/2006/relationships/hyperlink" Target="mailto:zamowienia@demos-trade.com" TargetMode="External"/><Relationship Id="rId1" Type="http://schemas.openxmlformats.org/officeDocument/2006/relationships/hyperlink" Target="mailto:megrendelesek@demos-trade.com" TargetMode="External"/><Relationship Id="rId6" Type="http://schemas.openxmlformats.org/officeDocument/2006/relationships/comments" Target="../comments1.xml"/><Relationship Id="rId5" Type="http://schemas.openxmlformats.org/officeDocument/2006/relationships/vmlDrawing" Target="../drawings/vmlDrawing16.vml"/><Relationship Id="rId4" Type="http://schemas.openxmlformats.org/officeDocument/2006/relationships/hyperlink" Target="mailto:objednavky@demos-trade.com" TargetMode="Externa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tabSelected="1" workbookViewId="0"/>
  </sheetViews>
  <sheetFormatPr defaultColWidth="0" defaultRowHeight="11.85" customHeight="1" zeroHeight="1"/>
  <cols>
    <col min="1" max="1" width="8" style="281" customWidth="1"/>
    <col min="2" max="2" width="3" style="281" customWidth="1"/>
    <col min="3" max="3" width="8" style="281" customWidth="1"/>
    <col min="4" max="4" width="3" style="281" customWidth="1"/>
    <col min="5" max="5" width="8" style="281" customWidth="1"/>
    <col min="6" max="6" width="3" style="281" customWidth="1"/>
    <col min="7" max="7" width="8" style="281" customWidth="1"/>
    <col min="8" max="9" width="2" style="281" customWidth="1"/>
    <col min="10" max="10" width="3.42578125" style="281" customWidth="1"/>
    <col min="11" max="11" width="7.5703125" style="281" customWidth="1"/>
    <col min="12" max="12" width="3.140625" style="281" customWidth="1"/>
    <col min="13" max="13" width="7.5703125" style="281" customWidth="1"/>
    <col min="14" max="14" width="3.140625" style="281" customWidth="1"/>
    <col min="15" max="15" width="6.5703125" style="281" customWidth="1"/>
    <col min="16" max="16" width="5.5703125" style="281" customWidth="1"/>
    <col min="17" max="17" width="8" style="281" customWidth="1"/>
    <col min="18" max="18" width="3.140625" style="281" customWidth="1"/>
    <col min="19" max="20" width="8" style="281" customWidth="1"/>
    <col min="21" max="21" width="5.7109375" style="281" customWidth="1"/>
    <col min="22" max="22" width="8" style="281" customWidth="1"/>
    <col min="23" max="23" width="3.5703125" style="281" hidden="1" customWidth="1"/>
    <col min="24" max="32" width="0" style="281" hidden="1" customWidth="1"/>
    <col min="33" max="16384" width="8" style="281" hidden="1"/>
  </cols>
  <sheetData>
    <row r="1" spans="1:32" ht="11.85" customHeight="1">
      <c r="A1" s="280" t="s">
        <v>643</v>
      </c>
      <c r="B1" s="280"/>
      <c r="C1" s="280"/>
      <c r="D1" s="280"/>
      <c r="E1" s="280"/>
      <c r="F1" s="280"/>
      <c r="G1" s="280"/>
      <c r="H1" s="280"/>
      <c r="I1" s="280"/>
      <c r="J1" s="280"/>
      <c r="K1" s="280"/>
      <c r="L1" s="280"/>
      <c r="M1" s="280"/>
      <c r="N1" s="280"/>
      <c r="O1" s="280"/>
      <c r="P1" s="280"/>
      <c r="Q1" s="280"/>
      <c r="R1" s="280"/>
      <c r="S1" s="280"/>
    </row>
    <row r="2" spans="1:32" ht="11.85" customHeight="1">
      <c r="A2" s="282"/>
      <c r="B2" s="282"/>
      <c r="C2" s="282"/>
      <c r="D2" s="282"/>
      <c r="E2" s="282"/>
      <c r="F2" s="282"/>
      <c r="G2" s="282"/>
      <c r="H2" s="282"/>
      <c r="I2" s="282"/>
      <c r="J2" s="282"/>
      <c r="K2" s="282"/>
      <c r="L2" s="282"/>
      <c r="M2" s="282"/>
      <c r="N2" s="282"/>
      <c r="O2" s="282"/>
      <c r="P2" s="282"/>
      <c r="Q2" s="282"/>
      <c r="R2" s="282"/>
      <c r="S2" s="282"/>
      <c r="T2" s="282"/>
      <c r="U2" s="282"/>
      <c r="V2" s="514" t="str">
        <f>VLOOKUP(V39,kombinace_1!$EJ$3:$EK$8,2,0)</f>
        <v>ENG</v>
      </c>
    </row>
    <row r="3" spans="1:32" ht="11.85" customHeight="1">
      <c r="A3" s="282"/>
      <c r="B3" s="282"/>
      <c r="C3" s="282"/>
      <c r="D3" s="282"/>
      <c r="E3" s="282"/>
      <c r="F3" s="282"/>
      <c r="G3" s="282"/>
      <c r="H3" s="282"/>
      <c r="I3" s="282"/>
      <c r="J3" s="282"/>
      <c r="K3" s="282"/>
      <c r="L3" s="282"/>
      <c r="M3" s="282"/>
      <c r="N3" s="282"/>
      <c r="O3" s="282"/>
      <c r="P3" s="282"/>
      <c r="Q3" s="282"/>
      <c r="R3" s="282"/>
      <c r="S3" s="282"/>
      <c r="T3" s="282"/>
      <c r="U3" s="282"/>
      <c r="V3" s="514"/>
    </row>
    <row r="4" spans="1:32" ht="24" customHeight="1">
      <c r="K4" s="512" t="str">
        <f>'Translate&amp;Prices&amp;Logo'!$B$245</f>
        <v>Ordering Form - ALU frames</v>
      </c>
      <c r="L4" s="512"/>
      <c r="M4" s="512"/>
      <c r="N4" s="512"/>
      <c r="O4" s="512"/>
      <c r="P4" s="512"/>
      <c r="Q4" s="512"/>
      <c r="R4" s="512"/>
      <c r="S4" s="512"/>
      <c r="T4" s="512"/>
      <c r="U4" s="512"/>
      <c r="V4" s="512"/>
    </row>
    <row r="5" spans="1:32" ht="11.85" customHeight="1">
      <c r="K5" s="512"/>
      <c r="L5" s="512"/>
      <c r="M5" s="512"/>
      <c r="N5" s="512"/>
      <c r="O5" s="512"/>
      <c r="P5" s="512"/>
      <c r="Q5" s="512"/>
      <c r="R5" s="512"/>
      <c r="S5" s="512"/>
      <c r="T5" s="512"/>
      <c r="U5" s="512"/>
      <c r="V5" s="512"/>
    </row>
    <row r="6" spans="1:32" ht="11.85" customHeight="1">
      <c r="K6" s="513"/>
      <c r="L6" s="513"/>
      <c r="M6" s="513"/>
      <c r="N6" s="513"/>
      <c r="O6" s="513"/>
      <c r="P6" s="513"/>
      <c r="Q6" s="513"/>
      <c r="R6" s="513"/>
      <c r="S6" s="513"/>
      <c r="T6" s="513"/>
      <c r="U6" s="513"/>
      <c r="V6" s="513"/>
    </row>
    <row r="7" spans="1:32" ht="11.85" customHeight="1">
      <c r="C7" s="304"/>
      <c r="D7" s="304"/>
      <c r="E7" s="304"/>
      <c r="F7" s="304"/>
      <c r="G7" s="304"/>
      <c r="H7" s="304"/>
      <c r="I7" s="304"/>
      <c r="J7" s="304"/>
      <c r="K7" s="304"/>
      <c r="L7" s="304"/>
      <c r="M7" s="304"/>
      <c r="N7" s="304"/>
      <c r="O7" s="304"/>
      <c r="P7" s="304"/>
      <c r="Q7" s="304"/>
      <c r="R7" s="304"/>
      <c r="S7" s="304"/>
    </row>
    <row r="8" spans="1:32" ht="11.85" customHeight="1">
      <c r="C8" s="304"/>
      <c r="D8" s="304"/>
      <c r="E8" s="304"/>
      <c r="F8" s="304"/>
      <c r="G8" s="304"/>
      <c r="H8" s="304"/>
      <c r="I8" s="304"/>
      <c r="J8" s="304"/>
      <c r="K8" s="304"/>
      <c r="L8" s="304"/>
      <c r="M8" s="304"/>
      <c r="N8" s="304"/>
      <c r="O8" s="304"/>
      <c r="P8" s="304"/>
      <c r="Q8" s="304"/>
      <c r="R8" s="304"/>
      <c r="S8" s="304"/>
    </row>
    <row r="9" spans="1:32" ht="11.85" customHeight="1"/>
    <row r="10" spans="1:32" ht="11.85" customHeight="1"/>
    <row r="11" spans="1:32" ht="20.85" customHeight="1">
      <c r="F11" s="283"/>
      <c r="G11" s="283"/>
      <c r="H11" s="283"/>
      <c r="I11" s="283"/>
    </row>
    <row r="12" spans="1:32" ht="11.85" customHeight="1"/>
    <row r="13" spans="1:32" ht="18.600000000000001" customHeight="1"/>
    <row r="14" spans="1:32" ht="15" customHeight="1">
      <c r="A14" s="280"/>
      <c r="B14" s="511" t="str">
        <f>'Translate&amp;Prices&amp;Logo'!$B$308</f>
        <v>Common frames</v>
      </c>
      <c r="C14" s="511"/>
      <c r="D14" s="511"/>
      <c r="E14" s="511"/>
      <c r="F14" s="511"/>
      <c r="G14" s="511"/>
      <c r="J14" s="280"/>
      <c r="K14" s="280"/>
      <c r="L14" s="280"/>
      <c r="Q14" s="511" t="str">
        <f>'Translate&amp;Prices&amp;Logo'!$B$309</f>
        <v>Sliding frames</v>
      </c>
      <c r="R14" s="511"/>
      <c r="S14" s="511"/>
      <c r="T14" s="511"/>
      <c r="U14" s="511"/>
      <c r="V14" s="39"/>
      <c r="W14" s="39"/>
      <c r="X14" s="39"/>
      <c r="AE14" s="39"/>
      <c r="AF14" s="39"/>
    </row>
    <row r="15" spans="1:32" ht="15" customHeight="1">
      <c r="A15" s="280"/>
      <c r="B15" s="511"/>
      <c r="C15" s="511"/>
      <c r="D15" s="511"/>
      <c r="E15" s="511"/>
      <c r="F15" s="511"/>
      <c r="G15" s="511"/>
      <c r="J15" s="280"/>
      <c r="K15" s="280"/>
      <c r="L15" s="280"/>
      <c r="Q15" s="511"/>
      <c r="R15" s="511"/>
      <c r="S15" s="511"/>
      <c r="T15" s="511"/>
      <c r="U15" s="511"/>
      <c r="AE15" s="39"/>
      <c r="AF15" s="39"/>
    </row>
    <row r="16" spans="1:32" ht="11.85" customHeight="1">
      <c r="Z16" s="39"/>
      <c r="AA16" s="39"/>
      <c r="AB16" s="39"/>
      <c r="AC16" s="39"/>
      <c r="AD16" s="39"/>
      <c r="AE16" s="39"/>
      <c r="AF16" s="39"/>
    </row>
    <row r="17" spans="1:32" ht="11.85" customHeight="1">
      <c r="AA17" s="39"/>
      <c r="AB17" s="39"/>
      <c r="AC17" s="39"/>
      <c r="AD17" s="39"/>
      <c r="AE17" s="39"/>
      <c r="AF17" s="39"/>
    </row>
    <row r="18" spans="1:32" ht="11.85" customHeight="1">
      <c r="Z18" s="39"/>
      <c r="AA18" s="39"/>
      <c r="AB18" s="39"/>
      <c r="AC18" s="39"/>
      <c r="AD18" s="39"/>
      <c r="AE18" s="39"/>
      <c r="AF18" s="39"/>
    </row>
    <row r="19" spans="1:32" ht="11.85" customHeight="1">
      <c r="Z19" s="39"/>
      <c r="AA19" s="39"/>
      <c r="AB19" s="39"/>
      <c r="AC19" s="39"/>
      <c r="AD19" s="39"/>
      <c r="AE19" s="39"/>
      <c r="AF19" s="39"/>
    </row>
    <row r="20" spans="1:32" ht="11.85" customHeight="1">
      <c r="T20" s="284"/>
      <c r="U20" s="284"/>
      <c r="V20" s="284"/>
      <c r="W20" s="39"/>
      <c r="X20" s="39"/>
      <c r="Y20" s="39"/>
      <c r="Z20" s="39"/>
      <c r="AA20" s="39"/>
      <c r="AB20" s="39"/>
      <c r="AC20" s="39"/>
      <c r="AD20" s="39"/>
      <c r="AE20" s="39"/>
      <c r="AF20" s="39"/>
    </row>
    <row r="21" spans="1:32" ht="11.85" customHeight="1">
      <c r="J21" s="511" t="str">
        <f>'Translate&amp;Prices&amp;Logo'!$B$581</f>
        <v>Glass order</v>
      </c>
      <c r="K21" s="511"/>
      <c r="L21" s="511"/>
      <c r="M21" s="511"/>
      <c r="N21" s="511"/>
      <c r="O21" s="511"/>
      <c r="Z21" s="39"/>
      <c r="AA21" s="39"/>
      <c r="AB21" s="39"/>
      <c r="AC21" s="39"/>
      <c r="AD21" s="39"/>
      <c r="AE21" s="39"/>
      <c r="AF21" s="39"/>
    </row>
    <row r="22" spans="1:32" ht="11.85" customHeight="1">
      <c r="J22" s="511"/>
      <c r="K22" s="511"/>
      <c r="L22" s="511"/>
      <c r="M22" s="511"/>
      <c r="N22" s="511"/>
      <c r="O22" s="511"/>
      <c r="T22" s="284"/>
      <c r="U22" s="284"/>
      <c r="V22" s="284"/>
      <c r="W22" s="39"/>
      <c r="X22" s="39"/>
      <c r="Y22" s="39"/>
      <c r="Z22" s="39"/>
      <c r="AA22" s="39"/>
      <c r="AB22" s="39"/>
      <c r="AC22" s="39"/>
      <c r="AD22" s="39"/>
      <c r="AE22" s="39"/>
      <c r="AF22" s="39"/>
    </row>
    <row r="23" spans="1:32" ht="11.85" customHeight="1">
      <c r="Z23" s="39"/>
      <c r="AA23" s="39"/>
      <c r="AB23" s="39"/>
      <c r="AC23" s="39"/>
      <c r="AD23" s="39"/>
      <c r="AE23" s="39"/>
      <c r="AF23" s="39"/>
    </row>
    <row r="24" spans="1:32" ht="11.85" customHeight="1">
      <c r="T24" s="284"/>
      <c r="U24" s="284"/>
      <c r="V24" s="284"/>
      <c r="W24" s="39"/>
      <c r="X24" s="39"/>
      <c r="Y24" s="39"/>
      <c r="Z24" s="39"/>
    </row>
    <row r="25" spans="1:32" ht="11.85" customHeight="1">
      <c r="Z25" s="39"/>
    </row>
    <row r="26" spans="1:32" ht="11.85" customHeight="1">
      <c r="T26" s="284"/>
      <c r="U26" s="284"/>
      <c r="V26" s="284"/>
      <c r="W26" s="39"/>
      <c r="X26" s="39"/>
      <c r="Y26" s="39"/>
      <c r="Z26" s="39"/>
    </row>
    <row r="27" spans="1:32" ht="15">
      <c r="E27" s="285"/>
      <c r="Z27" s="39"/>
    </row>
    <row r="28" spans="1:32" ht="15" customHeight="1">
      <c r="A28" s="280"/>
      <c r="B28" s="511" t="str">
        <f>'Translate&amp;Prices&amp;Logo'!$B$279</f>
        <v>LACOBEL and Matelac colors</v>
      </c>
      <c r="C28" s="511"/>
      <c r="D28" s="511"/>
      <c r="E28" s="511"/>
      <c r="F28" s="511"/>
      <c r="G28" s="511"/>
      <c r="J28" s="280"/>
      <c r="K28" s="280"/>
      <c r="L28" s="280"/>
      <c r="Q28" s="511" t="str">
        <f>'Translate&amp;Prices&amp;Logo'!$B$310</f>
        <v>Drawings of profiles and connection fittings</v>
      </c>
      <c r="R28" s="511"/>
      <c r="S28" s="511"/>
      <c r="T28" s="511"/>
      <c r="U28" s="511"/>
      <c r="V28" s="284"/>
    </row>
    <row r="29" spans="1:32" ht="15" customHeight="1">
      <c r="A29" s="280"/>
      <c r="B29" s="511"/>
      <c r="C29" s="511"/>
      <c r="D29" s="511"/>
      <c r="E29" s="511"/>
      <c r="F29" s="511"/>
      <c r="G29" s="511"/>
      <c r="J29" s="280"/>
      <c r="K29" s="280"/>
      <c r="L29" s="280"/>
      <c r="Q29" s="511"/>
      <c r="R29" s="511"/>
      <c r="S29" s="511"/>
      <c r="T29" s="511"/>
      <c r="U29" s="511"/>
    </row>
    <row r="30" spans="1:32" ht="11.85" customHeight="1">
      <c r="T30" s="284"/>
      <c r="U30" s="284"/>
      <c r="V30" s="284"/>
      <c r="W30" s="39"/>
      <c r="X30" s="39"/>
      <c r="Y30" s="39"/>
      <c r="Z30" s="39"/>
    </row>
    <row r="31" spans="1:32" ht="11.85" customHeight="1">
      <c r="Z31" s="39"/>
    </row>
    <row r="32" spans="1:32" ht="11.85" customHeight="1"/>
    <row r="33" spans="1:22" ht="11.85" customHeight="1"/>
    <row r="34" spans="1:22" ht="11.85" customHeight="1"/>
    <row r="35" spans="1:22" ht="11.85" customHeight="1"/>
    <row r="36" spans="1:22" ht="11.85" customHeight="1"/>
    <row r="37" spans="1:22" ht="11.85" customHeight="1"/>
    <row r="38" spans="1:22" ht="11.85" customHeight="1">
      <c r="A38" s="363" t="str">
        <f>'Translate&amp;Prices&amp;Logo'!$B$247</f>
        <v>Prices are valid from  27.1.2026/Version 7.1</v>
      </c>
    </row>
    <row r="39" spans="1:22" ht="11.85" hidden="1" customHeight="1">
      <c r="V39" s="305">
        <v>5</v>
      </c>
    </row>
  </sheetData>
  <sheetProtection algorithmName="SHA-512" hashValue="GSSqDMQP+sf1D1xaAV7RtNwE7tOPoloengwXj/8zpC0fUjMyIm6kkHFDjTH1DRV1dkCCOIghFdxZz1+X+sCAIQ==" saltValue="ZID8fhc6IfSYPnHgX/sYOA==" spinCount="100000" sheet="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"1,2,3,4,5,6"</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L758"/>
  <sheetViews>
    <sheetView topLeftCell="T1" zoomScaleNormal="100" workbookViewId="0">
      <selection activeCell="S1" sqref="S1"/>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8" max="158" width="8.5703125" customWidth="1"/>
    <col min="159" max="159" width="21.85546875" customWidth="1"/>
    <col min="161" max="161" width="22.28515625" customWidth="1"/>
    <col min="162" max="162" width="17" customWidth="1"/>
    <col min="163" max="163" width="26" customWidth="1"/>
  </cols>
  <sheetData>
    <row r="1" spans="1:168">
      <c r="A1" t="s">
        <v>25</v>
      </c>
      <c r="F1" t="s">
        <v>1864</v>
      </c>
      <c r="H1" t="b">
        <v>0</v>
      </c>
      <c r="M1" t="s">
        <v>1865</v>
      </c>
      <c r="P1" t="e">
        <f t="array" ref="P1">IF($S$1=Varianta_N1,_N1,IF($S$1=Varianta_A1,_A1,IF($S$1=Varianta_N2,_N2,IF($S$1=Varianta_A2,_A2,IF($S$1=Varianta_N3,_N3,IF($S$1=Varianta_A3,_A3,0))))))</f>
        <v>#N/A</v>
      </c>
      <c r="Q1" s="326" t="s">
        <v>1930</v>
      </c>
      <c r="R1" s="11" t="e">
        <f>VLOOKUP(Ram_1!H8,kombinace_1!$A$3:$C$75,3,0)</f>
        <v>#N/A</v>
      </c>
      <c r="S1" t="e">
        <f>CONCATENATE("_",R1,V1)</f>
        <v>#N/A</v>
      </c>
      <c r="U1" s="326" t="s">
        <v>1929</v>
      </c>
      <c r="V1" s="11">
        <f>IFERROR(VLOOKUP(Ram_1!H21,$EN$3:$EO$5,2,0),1)</f>
        <v>1</v>
      </c>
      <c r="X1" t="s">
        <v>1866</v>
      </c>
      <c r="AA1" t="s">
        <v>1021</v>
      </c>
      <c r="AF1" t="s">
        <v>1867</v>
      </c>
      <c r="AX1" t="s">
        <v>693</v>
      </c>
      <c r="BC1" t="s">
        <v>9</v>
      </c>
      <c r="BK1" t="s">
        <v>987</v>
      </c>
      <c r="BM1" t="s">
        <v>1919</v>
      </c>
      <c r="ED1" t="s">
        <v>4286</v>
      </c>
      <c r="EE1" t="s">
        <v>108</v>
      </c>
      <c r="ER1" t="s">
        <v>3124</v>
      </c>
      <c r="ES1" t="s">
        <v>3129</v>
      </c>
      <c r="EV1">
        <v>1</v>
      </c>
      <c r="EW1" t="s">
        <v>3146</v>
      </c>
      <c r="EY1" t="s">
        <v>3249</v>
      </c>
      <c r="FA1" t="s">
        <v>3250</v>
      </c>
      <c r="FC1" t="s">
        <v>3248</v>
      </c>
    </row>
    <row r="2" spans="1:168">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CONCATENATE("_",Ram_1!H12,"_",Ram_1!H13)</f>
        <v>__</v>
      </c>
      <c r="BV2" t="s">
        <v>1947</v>
      </c>
      <c r="BW2" t="s">
        <v>1942</v>
      </c>
      <c r="BY2" t="s">
        <v>220</v>
      </c>
      <c r="CA2" t="s">
        <v>1974</v>
      </c>
      <c r="CD2" t="s">
        <v>2049</v>
      </c>
      <c r="CF2" t="s">
        <v>2294</v>
      </c>
      <c r="DN2" t="str">
        <f>'Translate&amp;Prices&amp;Logo'!B553</f>
        <v>Overlay</v>
      </c>
      <c r="DP2" t="str">
        <f>'Translate&amp;Prices&amp;Logo'!$B$551</f>
        <v>Hinges</v>
      </c>
      <c r="DQ2">
        <v>2</v>
      </c>
      <c r="ED2" t="s">
        <v>2617</v>
      </c>
      <c r="EE2" t="s">
        <v>4287</v>
      </c>
      <c r="ER2" t="s">
        <v>3125</v>
      </c>
      <c r="ES2" t="s">
        <v>3130</v>
      </c>
      <c r="EV2">
        <v>2</v>
      </c>
      <c r="EW2" t="s">
        <v>3147</v>
      </c>
      <c r="EY2" s="366" t="str">
        <f>'Translate&amp;Prices&amp;Logo'!B164</f>
        <v>mesh aluminum gold - field 10x6x1 mm</v>
      </c>
      <c r="FA2" s="168">
        <f>'Translate&amp;Prices&amp;Logo'!B644</f>
        <v>0</v>
      </c>
      <c r="FC2" t="b">
        <v>0</v>
      </c>
    </row>
    <row r="3" spans="1:168">
      <c r="A3" t="str">
        <f>'Translate&amp;Prices&amp;Logo'!$B$6</f>
        <v>BRW (elox.) - maximum profile length 2500 mm</v>
      </c>
      <c r="B3">
        <v>1</v>
      </c>
      <c r="C3" t="s">
        <v>1122</v>
      </c>
      <c r="D3">
        <v>1</v>
      </c>
      <c r="F3" t="s">
        <v>1883</v>
      </c>
      <c r="G3" t="s">
        <v>672</v>
      </c>
      <c r="H3" t="s">
        <v>1884</v>
      </c>
      <c r="I3">
        <v>1</v>
      </c>
      <c r="J3">
        <v>2</v>
      </c>
      <c r="K3" t="s">
        <v>1122</v>
      </c>
      <c r="M3" t="s">
        <v>1885</v>
      </c>
      <c r="N3" t="s">
        <v>947</v>
      </c>
      <c r="X3" t="str">
        <f>'Translate&amp;Prices&amp;Logo'!$B$563</f>
        <v>Transparent</v>
      </c>
      <c r="Y3">
        <v>1</v>
      </c>
      <c r="AA3" t="s">
        <v>3051</v>
      </c>
      <c r="AB3" t="s">
        <v>1942</v>
      </c>
      <c r="AF3" t="s">
        <v>215</v>
      </c>
      <c r="AG3" t="s">
        <v>3407</v>
      </c>
      <c r="AY3" t="s">
        <v>1917</v>
      </c>
      <c r="BK3" t="s">
        <v>215</v>
      </c>
      <c r="BU3" t="e">
        <f>VLOOKUP(BU2,BV:BW,2,0)</f>
        <v>#N/A</v>
      </c>
      <c r="BV3" t="s">
        <v>1950</v>
      </c>
      <c r="BW3" t="s">
        <v>1946</v>
      </c>
      <c r="BY3" t="str">
        <f>'Translate&amp;Prices&amp;Logo'!$B$230</f>
        <v>Left</v>
      </c>
      <c r="BZ3">
        <v>1</v>
      </c>
      <c r="CA3">
        <v>32</v>
      </c>
      <c r="CD3" t="s">
        <v>3404</v>
      </c>
      <c r="CE3">
        <v>1</v>
      </c>
      <c r="CF3">
        <v>1</v>
      </c>
      <c r="DN3" t="e">
        <f>IF(OR(Ram_1!$H$13&amp;Ram_1!$AU$7=Ram_1!$M$44,
Ram_1!$H$13&amp;Ram_1!$AU$7=Ram_1!$M$45,
Ram_1!$H$13&amp;Ram_1!$AU$7=Ram_1!$M$46,
Ram_1!$H$13&amp;Ram_1!$AU$7=Ram_1!$M$47),
'Translate&amp;Prices&amp;Logo'!B657,'Translate&amp;Prices&amp;Logo'!B554)</f>
        <v>#N/A</v>
      </c>
      <c r="DP3" t="str">
        <f>'Translate&amp;Prices&amp;Logo'!$B$552</f>
        <v>Lifts</v>
      </c>
      <c r="DQ3">
        <v>3</v>
      </c>
      <c r="ED3" t="s">
        <v>2618</v>
      </c>
      <c r="EE3" t="s">
        <v>4290</v>
      </c>
      <c r="EJ3">
        <v>1</v>
      </c>
      <c r="EK3" t="s">
        <v>333</v>
      </c>
      <c r="EN3" t="str">
        <f>'Translate&amp;Prices&amp;Logo'!B638</f>
        <v>Not treated</v>
      </c>
      <c r="EO3">
        <v>1</v>
      </c>
      <c r="ER3" t="s">
        <v>3123</v>
      </c>
      <c r="ES3" t="s">
        <v>3131</v>
      </c>
      <c r="EV3">
        <v>3</v>
      </c>
      <c r="EW3" t="s">
        <v>3148</v>
      </c>
      <c r="EY3" s="366" t="str">
        <f>'Translate&amp;Prices&amp;Logo'!B165</f>
        <v>mesh steel black matt - field 8x4x1 mm</v>
      </c>
      <c r="FA3" s="168">
        <f>'Translate&amp;Prices&amp;Logo'!B645</f>
        <v>0</v>
      </c>
    </row>
    <row r="4" spans="1:168">
      <c r="A4" t="str">
        <f>'Translate&amp;Prices&amp;Logo'!$B$8</f>
        <v>BRW white matt RAL 9003 - maximum profile length 2500 mm</v>
      </c>
      <c r="B4">
        <v>1</v>
      </c>
      <c r="C4" t="s">
        <v>1122</v>
      </c>
      <c r="D4">
        <v>0</v>
      </c>
      <c r="G4" t="s">
        <v>1884</v>
      </c>
      <c r="H4" t="s">
        <v>672</v>
      </c>
      <c r="I4">
        <v>0</v>
      </c>
      <c r="J4">
        <v>2</v>
      </c>
      <c r="K4" t="s">
        <v>1122</v>
      </c>
      <c r="M4" t="s">
        <v>1888</v>
      </c>
      <c r="N4" t="s">
        <v>1488</v>
      </c>
      <c r="X4" t="str">
        <f>'Translate&amp;Prices&amp;Logo'!$B$564</f>
        <v>White</v>
      </c>
      <c r="Y4">
        <v>2</v>
      </c>
      <c r="AA4" t="s">
        <v>1887</v>
      </c>
      <c r="AB4" t="s">
        <v>3404</v>
      </c>
      <c r="AC4">
        <v>1</v>
      </c>
      <c r="AD4">
        <v>1</v>
      </c>
      <c r="AF4" t="s">
        <v>216</v>
      </c>
      <c r="AG4" t="s">
        <v>3407</v>
      </c>
      <c r="AY4" t="s">
        <v>1917</v>
      </c>
      <c r="AZ4" t="s">
        <v>1952</v>
      </c>
      <c r="BK4" t="s">
        <v>216</v>
      </c>
      <c r="BV4" t="s">
        <v>1951</v>
      </c>
      <c r="BW4" t="s">
        <v>1945</v>
      </c>
      <c r="BY4" t="str">
        <f>'Translate&amp;Prices&amp;Logo'!$B$229</f>
        <v>Right</v>
      </c>
      <c r="BZ4">
        <v>2</v>
      </c>
      <c r="CA4">
        <v>64</v>
      </c>
      <c r="CD4" t="s">
        <v>3122</v>
      </c>
      <c r="CE4">
        <v>1</v>
      </c>
      <c r="CF4">
        <v>0</v>
      </c>
      <c r="DN4" t="e">
        <f>IF(OR(Ram_1!$H$13&amp;Ram_1!$AU$7=Ram_1!$M$44,
Ram_1!$H$13&amp;Ram_1!$AU$7=Ram_1!$M$45,
Ram_1!$H$13&amp;Ram_1!$AU$7=Ram_1!$M$46,
Ram_1!$H$13&amp;Ram_1!$AU$7=Ram_1!$M$47),
'Translate&amp;Prices&amp;Logo'!B657,'Translate&amp;Prices&amp;Logo'!B555)</f>
        <v>#N/A</v>
      </c>
      <c r="ED4" t="s">
        <v>2619</v>
      </c>
      <c r="EE4" t="s">
        <v>4292</v>
      </c>
      <c r="EJ4">
        <v>2</v>
      </c>
      <c r="EK4" t="s">
        <v>334</v>
      </c>
      <c r="EN4" t="str">
        <f>'Translate&amp;Prices&amp;Logo'!B639</f>
        <v>Harded (delivery is 4 weeks)</v>
      </c>
      <c r="EO4">
        <v>2</v>
      </c>
      <c r="ER4" t="s">
        <v>3482</v>
      </c>
      <c r="ES4" t="s">
        <v>3483</v>
      </c>
      <c r="EV4">
        <v>4</v>
      </c>
      <c r="EW4" t="s">
        <v>3149</v>
      </c>
      <c r="EY4" s="366" t="str">
        <f>'Translate&amp;Prices&amp;Logo'!B166</f>
        <v>mesh steel white - field 8x4x1 mm</v>
      </c>
      <c r="FA4" s="168">
        <f>'Translate&amp;Prices&amp;Logo'!B646</f>
        <v>0</v>
      </c>
      <c r="FD4" s="388"/>
    </row>
    <row r="5" spans="1:168">
      <c r="A5" t="str">
        <f>'Translate&amp;Prices&amp;Logo'!$B$9</f>
        <v>BRW white gloss RAL 9003 - maximum profile length 2500 mm</v>
      </c>
      <c r="B5">
        <v>1</v>
      </c>
      <c r="C5" t="s">
        <v>1122</v>
      </c>
      <c r="D5">
        <v>0</v>
      </c>
      <c r="F5" t="s">
        <v>1890</v>
      </c>
      <c r="G5" t="s">
        <v>671</v>
      </c>
      <c r="H5" t="s">
        <v>1884</v>
      </c>
      <c r="I5">
        <v>1</v>
      </c>
      <c r="J5">
        <v>2</v>
      </c>
      <c r="K5" t="s">
        <v>1122</v>
      </c>
      <c r="M5" t="s">
        <v>1891</v>
      </c>
      <c r="N5" t="s">
        <v>967</v>
      </c>
      <c r="X5" t="str">
        <f>'Translate&amp;Prices&amp;Logo'!$B$565</f>
        <v>Black</v>
      </c>
      <c r="Y5">
        <v>3</v>
      </c>
      <c r="AA5" t="s">
        <v>1887</v>
      </c>
      <c r="AB5" t="s">
        <v>3408</v>
      </c>
      <c r="AC5">
        <v>0</v>
      </c>
      <c r="AD5">
        <v>0</v>
      </c>
      <c r="AF5" t="s">
        <v>215</v>
      </c>
      <c r="AG5" t="s">
        <v>3409</v>
      </c>
      <c r="AY5" t="s">
        <v>1917</v>
      </c>
      <c r="AZ5" t="s">
        <v>1953</v>
      </c>
      <c r="BK5" t="s">
        <v>1894</v>
      </c>
      <c r="BV5" t="s">
        <v>3534</v>
      </c>
      <c r="BW5" t="s">
        <v>3535</v>
      </c>
      <c r="BY5" t="str">
        <f>'Translate&amp;Prices&amp;Logo'!$B$227</f>
        <v>Top</v>
      </c>
      <c r="BZ5">
        <v>3</v>
      </c>
      <c r="CA5">
        <v>76</v>
      </c>
      <c r="CD5" t="s">
        <v>1897</v>
      </c>
      <c r="CE5">
        <v>1</v>
      </c>
      <c r="CF5">
        <v>0</v>
      </c>
      <c r="ED5" t="s">
        <v>2620</v>
      </c>
      <c r="EE5" t="s">
        <v>4293</v>
      </c>
      <c r="EJ5">
        <v>3</v>
      </c>
      <c r="EK5" t="s">
        <v>108</v>
      </c>
      <c r="EN5" t="str">
        <f>'Translate&amp;Prices&amp;Logo'!B640</f>
        <v>Foil</v>
      </c>
      <c r="EO5">
        <v>3</v>
      </c>
      <c r="ER5" t="s">
        <v>3484</v>
      </c>
      <c r="ES5" t="s">
        <v>3485</v>
      </c>
      <c r="EV5">
        <v>5</v>
      </c>
      <c r="EW5" t="s">
        <v>3147</v>
      </c>
      <c r="EY5" s="366" t="str">
        <f>'Translate&amp;Prices&amp;Logo'!B167</f>
        <v>mesh anodized - field 10x6x1 mm</v>
      </c>
      <c r="FA5" s="168">
        <f>'Translate&amp;Prices&amp;Logo'!B647</f>
        <v>0</v>
      </c>
      <c r="FD5" s="388"/>
    </row>
    <row r="6" spans="1:168">
      <c r="A6" t="str">
        <f>'Translate&amp;Prices&amp;Logo'!$B$11</f>
        <v>BRW brushed - maximum profile length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Bottom</v>
      </c>
      <c r="BZ6">
        <v>4</v>
      </c>
      <c r="CA6">
        <v>96</v>
      </c>
      <c r="CD6" t="s">
        <v>1900</v>
      </c>
      <c r="CE6">
        <v>1</v>
      </c>
      <c r="CF6">
        <v>1</v>
      </c>
      <c r="ED6" t="s">
        <v>2621</v>
      </c>
      <c r="EE6" t="s">
        <v>4295</v>
      </c>
      <c r="EJ6">
        <v>4</v>
      </c>
      <c r="EK6" t="s">
        <v>109</v>
      </c>
      <c r="ER6" t="s">
        <v>3486</v>
      </c>
      <c r="ES6" t="s">
        <v>3487</v>
      </c>
      <c r="EV6">
        <v>6</v>
      </c>
      <c r="EW6" t="s">
        <v>3147</v>
      </c>
      <c r="FA6" s="168">
        <f>'Translate&amp;Prices&amp;Logo'!B648</f>
        <v>0</v>
      </c>
    </row>
    <row r="7" spans="1:168">
      <c r="A7" t="str">
        <f>'Translate&amp;Prices&amp;Logo'!$B$12</f>
        <v>BRW black matt - maximum profile length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4297</v>
      </c>
      <c r="EJ7">
        <v>5</v>
      </c>
      <c r="EK7" t="s">
        <v>3046</v>
      </c>
      <c r="ER7" t="s">
        <v>3488</v>
      </c>
      <c r="ES7" t="s">
        <v>3489</v>
      </c>
      <c r="FA7" s="168">
        <f>'Translate&amp;Prices&amp;Logo'!B649</f>
        <v>0</v>
      </c>
      <c r="FD7" s="388"/>
    </row>
    <row r="8" spans="1:168">
      <c r="A8" t="str">
        <f>'Translate&amp;Prices&amp;Logo'!$B$14</f>
        <v>BRW black brushed - maximum profile length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4299</v>
      </c>
      <c r="EJ8">
        <v>6</v>
      </c>
      <c r="EK8" t="s">
        <v>5321</v>
      </c>
      <c r="ER8" t="s">
        <v>3490</v>
      </c>
      <c r="ES8" t="s">
        <v>3491</v>
      </c>
      <c r="FA8" s="168">
        <f>'Translate&amp;Prices&amp;Logo'!B650</f>
        <v>0</v>
      </c>
    </row>
    <row r="9" spans="1:168">
      <c r="A9" t="str">
        <f>'Translate&amp;Prices&amp;Logo'!$B$15</f>
        <v>BRW Light Stainless Steel (ACIER GRATA) - maximum profile length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4300</v>
      </c>
      <c r="ER9" t="s">
        <v>3492</v>
      </c>
      <c r="ES9" t="s">
        <v>3493</v>
      </c>
      <c r="FA9">
        <f>'Translate&amp;Prices&amp;Logo'!B651</f>
        <v>0</v>
      </c>
    </row>
    <row r="10" spans="1:168">
      <c r="A10" t="str">
        <f>'Translate&amp;Prices&amp;Logo'!$B$7</f>
        <v>BRW anthracite RAL 7021 - maximum profile length 2500 mm</v>
      </c>
      <c r="B10">
        <v>1</v>
      </c>
      <c r="C10" t="s">
        <v>1122</v>
      </c>
      <c r="D10">
        <v>0</v>
      </c>
      <c r="M10" t="str">
        <f>'Translate&amp;Prices&amp;Logo'!B558</f>
        <v>Horizontal (delivery is 4 weeks)</v>
      </c>
      <c r="N10">
        <f>IF(Ram_1!$H$9=kombinace_1!M10,1,0)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8"/>
    </row>
    <row r="11" spans="1:168">
      <c r="A11" t="str">
        <f>'Translate&amp;Prices&amp;Logo'!$B$69</f>
        <v>BRW champagne - maximum profile length 2500 mm</v>
      </c>
      <c r="B11">
        <v>1</v>
      </c>
      <c r="C11" t="s">
        <v>1122</v>
      </c>
      <c r="D11">
        <v>0</v>
      </c>
      <c r="M11" t="str">
        <f>'Translate&amp;Prices&amp;Logo'!B559</f>
        <v>Vertical (delivery is 4 weeks)</v>
      </c>
      <c r="N11">
        <f>IF(Ram_1!$H$9=kombinace_1!M11,2,0)</f>
        <v>0</v>
      </c>
      <c r="AC11">
        <v>0</v>
      </c>
      <c r="AD11">
        <v>0</v>
      </c>
      <c r="AF11" t="s">
        <v>215</v>
      </c>
      <c r="AG11" t="s">
        <v>1902</v>
      </c>
      <c r="AY11" t="s">
        <v>1887</v>
      </c>
      <c r="AZ11" t="s">
        <v>1958</v>
      </c>
      <c r="BQ11" s="368" t="s">
        <v>3237</v>
      </c>
      <c r="BY11">
        <v>5</v>
      </c>
      <c r="CA11">
        <v>240</v>
      </c>
      <c r="CD11" t="str">
        <f>CONCATENATE('Translate&amp;Prices&amp;Logo'!B664,"_K12")</f>
        <v>bottom_K12</v>
      </c>
      <c r="CE11">
        <v>1</v>
      </c>
      <c r="CF11">
        <v>0</v>
      </c>
      <c r="DN11" t="s">
        <v>99</v>
      </c>
      <c r="DO11" s="11" t="s">
        <v>99</v>
      </c>
      <c r="ED11" t="s">
        <v>2626</v>
      </c>
      <c r="EE11" t="s">
        <v>2720</v>
      </c>
      <c r="ER11" t="s">
        <v>3127</v>
      </c>
      <c r="ES11" t="s">
        <v>3133</v>
      </c>
      <c r="FD11" s="388"/>
    </row>
    <row r="12" spans="1:168">
      <c r="A12" t="str">
        <f>'Translate&amp;Prices&amp;Logo'!$B$70</f>
        <v>BRW champagne light - maximum profile length 2500 mm</v>
      </c>
      <c r="B12">
        <v>1</v>
      </c>
      <c r="C12" t="s">
        <v>1122</v>
      </c>
      <c r="D12">
        <v>0</v>
      </c>
      <c r="M12" t="str">
        <f>'Translate&amp;Prices&amp;Logo'!B560</f>
        <v>Horizontal and vertical (delivery is 4 weeks)</v>
      </c>
      <c r="N12">
        <f>IF(Ram_1!$H$9=kombinace_1!M12,3,0)</f>
        <v>0</v>
      </c>
      <c r="AC12">
        <v>0</v>
      </c>
      <c r="AD12">
        <v>0</v>
      </c>
      <c r="AF12" t="s">
        <v>216</v>
      </c>
      <c r="AG12" t="s">
        <v>1902</v>
      </c>
      <c r="AY12" t="s">
        <v>1887</v>
      </c>
      <c r="AZ12" t="s">
        <v>1959</v>
      </c>
      <c r="BQ12" s="369"/>
      <c r="BR12" t="s">
        <v>1887</v>
      </c>
      <c r="BY12">
        <v>6</v>
      </c>
      <c r="CA12">
        <v>256</v>
      </c>
      <c r="CD12" t="s">
        <v>1911</v>
      </c>
      <c r="CE12">
        <v>1</v>
      </c>
      <c r="CF12">
        <v>0</v>
      </c>
      <c r="DN12" t="s">
        <v>100</v>
      </c>
      <c r="DO12" s="11" t="s">
        <v>100</v>
      </c>
      <c r="ED12" t="s">
        <v>2627</v>
      </c>
      <c r="EE12" t="s">
        <v>2721</v>
      </c>
      <c r="ER12" t="s">
        <v>3128</v>
      </c>
      <c r="ES12" t="s">
        <v>3134</v>
      </c>
    </row>
    <row r="13" spans="1:168">
      <c r="A13" t="str">
        <f>'Translate&amp;Prices&amp;Logo'!$B$10</f>
        <v>BRW brown - maximum profile length 2500 mm</v>
      </c>
      <c r="B13">
        <v>1</v>
      </c>
      <c r="C13" t="s">
        <v>1122</v>
      </c>
      <c r="D13">
        <v>0</v>
      </c>
      <c r="AC13">
        <v>0</v>
      </c>
      <c r="AD13">
        <v>0</v>
      </c>
      <c r="AF13" t="s">
        <v>215</v>
      </c>
      <c r="AG13" t="s">
        <v>1905</v>
      </c>
      <c r="AY13" t="s">
        <v>1887</v>
      </c>
      <c r="AZ13" t="s">
        <v>1960</v>
      </c>
      <c r="BQ13" s="369"/>
      <c r="BR13" t="s">
        <v>1899</v>
      </c>
      <c r="BY13" t="str">
        <f>'Translate&amp;Prices&amp;Logo'!$B$558</f>
        <v>Horizontal (delivery is 4 weeks)</v>
      </c>
      <c r="BZ13">
        <v>1</v>
      </c>
      <c r="CA13">
        <v>288</v>
      </c>
      <c r="CD13" t="str">
        <f>CONCATENATE('Translate&amp;Prices&amp;Logo'!B664,"_kraby")</f>
        <v>bottom_kraby</v>
      </c>
      <c r="CE13">
        <v>1</v>
      </c>
      <c r="CF13">
        <v>0</v>
      </c>
      <c r="DN13" t="s">
        <v>452</v>
      </c>
      <c r="DO13" s="11" t="s">
        <v>98</v>
      </c>
      <c r="ED13" t="s">
        <v>3544</v>
      </c>
      <c r="EE13" t="s">
        <v>3543</v>
      </c>
      <c r="ER13" t="s">
        <v>3129</v>
      </c>
      <c r="ES13" t="s">
        <v>3129</v>
      </c>
    </row>
    <row r="14" spans="1:168">
      <c r="A14" t="str">
        <f>'Translate&amp;Prices&amp;Logo'!$B$16</f>
        <v>BRW dark stainless steel - maximum profile length 2500 mm</v>
      </c>
      <c r="B14">
        <v>1</v>
      </c>
      <c r="C14" t="s">
        <v>1122</v>
      </c>
      <c r="D14">
        <v>0</v>
      </c>
      <c r="F14">
        <f>'Translate&amp;Prices&amp;Logo'!$B$77</f>
        <v>0</v>
      </c>
      <c r="J14" t="b">
        <f>TRUE</f>
        <v>1</v>
      </c>
      <c r="K14">
        <v>1</v>
      </c>
      <c r="AA14" t="s">
        <v>3052</v>
      </c>
      <c r="AB14" t="s">
        <v>1946</v>
      </c>
      <c r="AF14" t="s">
        <v>216</v>
      </c>
      <c r="AG14" t="s">
        <v>1905</v>
      </c>
      <c r="AY14" t="s">
        <v>1887</v>
      </c>
      <c r="AZ14" t="s">
        <v>1961</v>
      </c>
      <c r="BQ14" s="369"/>
      <c r="BY14" t="str">
        <f>'Translate&amp;Prices&amp;Logo'!$B$559</f>
        <v>Vertical (delivery is 4 weeks)</v>
      </c>
      <c r="BZ14">
        <v>2</v>
      </c>
      <c r="CA14">
        <v>320</v>
      </c>
      <c r="CD14" t="s">
        <v>1913</v>
      </c>
      <c r="CE14">
        <v>1</v>
      </c>
      <c r="CF14">
        <v>0</v>
      </c>
      <c r="DN14" t="s">
        <v>453</v>
      </c>
      <c r="DO14" s="11" t="s">
        <v>99</v>
      </c>
      <c r="ED14" t="s">
        <v>2628</v>
      </c>
      <c r="EE14" t="s">
        <v>2722</v>
      </c>
      <c r="ER14" t="s">
        <v>3130</v>
      </c>
      <c r="ES14" t="s">
        <v>3130</v>
      </c>
    </row>
    <row r="15" spans="1:168">
      <c r="A15" t="str">
        <f>'Translate&amp;Prices&amp;Logo'!$B$13</f>
        <v>BRW gold - maximum profile length 2500 mm</v>
      </c>
      <c r="B15">
        <v>1</v>
      </c>
      <c r="C15" t="s">
        <v>1122</v>
      </c>
      <c r="D15">
        <v>1</v>
      </c>
      <c r="F15">
        <f>'Translate&amp;Prices&amp;Logo'!$B$78</f>
        <v>0</v>
      </c>
      <c r="J15" t="b">
        <f>FALSE</f>
        <v>0</v>
      </c>
      <c r="K15">
        <v>2</v>
      </c>
      <c r="AA15" t="s">
        <v>1899</v>
      </c>
      <c r="AB15" t="s">
        <v>1897</v>
      </c>
      <c r="AC15">
        <v>1</v>
      </c>
      <c r="AD15">
        <v>0</v>
      </c>
      <c r="AF15" t="s">
        <v>215</v>
      </c>
      <c r="AG15" t="s">
        <v>1907</v>
      </c>
      <c r="AY15" t="s">
        <v>3473</v>
      </c>
      <c r="BQ15" s="370"/>
      <c r="BY15" t="str">
        <f>'Translate&amp;Prices&amp;Logo'!$B$560</f>
        <v>Horizontal and vertical (delivery is 4 weeks)</v>
      </c>
      <c r="BZ15">
        <v>3</v>
      </c>
      <c r="CA15">
        <v>384</v>
      </c>
      <c r="CD15" t="s">
        <v>1914</v>
      </c>
      <c r="CE15">
        <v>1</v>
      </c>
      <c r="CF15">
        <v>0</v>
      </c>
      <c r="DN15" t="s">
        <v>2101</v>
      </c>
      <c r="DO15" s="11" t="s">
        <v>100</v>
      </c>
      <c r="ED15" t="s">
        <v>2629</v>
      </c>
      <c r="EE15" t="s">
        <v>2723</v>
      </c>
      <c r="ER15" t="s">
        <v>3131</v>
      </c>
      <c r="ES15" t="s">
        <v>3131</v>
      </c>
      <c r="FD15" s="388"/>
    </row>
    <row r="16" spans="1:168">
      <c r="A16" t="str">
        <f>'Translate&amp;Prices&amp;Logo'!$B$55</f>
        <v>BRW arany csiszolt - maximum profile length 2500 mm</v>
      </c>
      <c r="B16">
        <v>1</v>
      </c>
      <c r="C16" t="s">
        <v>1122</v>
      </c>
      <c r="D16">
        <v>0</v>
      </c>
      <c r="E16">
        <v>3</v>
      </c>
      <c r="F16">
        <f>'Translate&amp;Prices&amp;Logo'!$B$79</f>
        <v>0</v>
      </c>
      <c r="AA16" t="s">
        <v>1899</v>
      </c>
      <c r="AB16" t="s">
        <v>1900</v>
      </c>
      <c r="AC16">
        <v>1</v>
      </c>
      <c r="AD16">
        <v>1</v>
      </c>
      <c r="AF16" t="s">
        <v>216</v>
      </c>
      <c r="AG16" t="s">
        <v>1907</v>
      </c>
      <c r="AY16" t="s">
        <v>3473</v>
      </c>
      <c r="AZ16" t="s">
        <v>3474</v>
      </c>
      <c r="CA16">
        <v>448</v>
      </c>
      <c r="CD16" t="str">
        <f>'Translate&amp;Prices&amp;Logo'!B659</f>
        <v>StrongLift_upper</v>
      </c>
      <c r="CE16">
        <v>1</v>
      </c>
      <c r="CF16">
        <v>1</v>
      </c>
      <c r="DN16" t="s">
        <v>528</v>
      </c>
      <c r="DO16" s="11" t="s">
        <v>98</v>
      </c>
      <c r="ED16" t="s">
        <v>2630</v>
      </c>
      <c r="EE16" t="s">
        <v>2724</v>
      </c>
      <c r="ER16" t="s">
        <v>3483</v>
      </c>
      <c r="ES16" t="s">
        <v>3483</v>
      </c>
      <c r="FC16" s="404"/>
      <c r="FD16" s="405"/>
      <c r="FE16" s="404"/>
      <c r="FF16" s="404"/>
      <c r="FG16" s="404"/>
      <c r="FH16" s="404"/>
      <c r="FI16" s="404"/>
      <c r="FJ16" s="404"/>
      <c r="FK16" s="404"/>
      <c r="FL16" s="404"/>
    </row>
    <row r="17" spans="1:168">
      <c r="A17" t="str">
        <f>'Translate&amp;Prices&amp;Logo'!$B$17</f>
        <v>Corleone (elox.) - maximum profile length 1500 mm</v>
      </c>
      <c r="B17">
        <v>2</v>
      </c>
      <c r="C17" t="s">
        <v>1122</v>
      </c>
      <c r="D17">
        <v>0</v>
      </c>
      <c r="E17">
        <v>3</v>
      </c>
      <c r="F17">
        <f>'Translate&amp;Prices&amp;Logo'!$B$82</f>
        <v>0</v>
      </c>
      <c r="AA17" t="s">
        <v>1899</v>
      </c>
      <c r="AB17" t="s">
        <v>1903</v>
      </c>
      <c r="AC17">
        <v>0</v>
      </c>
      <c r="AD17">
        <v>0</v>
      </c>
      <c r="AF17" t="s">
        <v>215</v>
      </c>
      <c r="AG17" t="s">
        <v>1908</v>
      </c>
      <c r="AY17" t="s">
        <v>3473</v>
      </c>
      <c r="AZ17" t="s">
        <v>3475</v>
      </c>
      <c r="CA17">
        <v>480</v>
      </c>
      <c r="CD17" t="str">
        <f>'Translate&amp;Prices&amp;Logo'!B660</f>
        <v>StrongLift_bottom</v>
      </c>
      <c r="CE17">
        <v>1</v>
      </c>
      <c r="CF17">
        <v>1</v>
      </c>
      <c r="DN17" t="s">
        <v>2210</v>
      </c>
      <c r="DO17" s="11" t="s">
        <v>99</v>
      </c>
      <c r="ED17" t="s">
        <v>2631</v>
      </c>
      <c r="EE17" t="s">
        <v>2725</v>
      </c>
      <c r="ER17" t="s">
        <v>3485</v>
      </c>
      <c r="ES17" t="s">
        <v>3485</v>
      </c>
      <c r="FC17" s="404"/>
      <c r="FD17" s="404"/>
      <c r="FE17" s="404"/>
      <c r="FF17" s="404"/>
      <c r="FG17" s="404"/>
      <c r="FH17" s="404"/>
      <c r="FI17" s="404"/>
      <c r="FJ17" s="404"/>
      <c r="FK17" s="404"/>
      <c r="FL17" s="404"/>
    </row>
    <row r="18" spans="1:168">
      <c r="A18" t="str">
        <f>'Translate&amp;Prices&amp;Logo'!$B$18</f>
        <v>Corleone black matt - maximum profile length 1500 mm</v>
      </c>
      <c r="B18">
        <v>2</v>
      </c>
      <c r="C18" t="s">
        <v>1122</v>
      </c>
      <c r="D18">
        <v>0</v>
      </c>
      <c r="F18" t="str">
        <f>'Translate&amp;Prices&amp;Logo'!$B$80</f>
        <v>Rocca elox (Left and Right) + Varna elox (Top and Bottom)</v>
      </c>
      <c r="AA18" t="s">
        <v>1899</v>
      </c>
      <c r="AB18" t="s">
        <v>1904</v>
      </c>
      <c r="AC18">
        <v>0</v>
      </c>
      <c r="AD18">
        <v>0</v>
      </c>
      <c r="AF18" t="s">
        <v>216</v>
      </c>
      <c r="AG18" t="s">
        <v>1908</v>
      </c>
      <c r="AY18" t="s">
        <v>3473</v>
      </c>
      <c r="AZ18" t="s">
        <v>3476</v>
      </c>
      <c r="CA18">
        <v>576</v>
      </c>
      <c r="CD18" t="s">
        <v>1918</v>
      </c>
      <c r="CE18">
        <v>1</v>
      </c>
      <c r="CF18">
        <v>0</v>
      </c>
      <c r="DN18" t="s">
        <v>2211</v>
      </c>
      <c r="DO18" s="11" t="s">
        <v>100</v>
      </c>
      <c r="ED18" t="s">
        <v>2632</v>
      </c>
      <c r="EE18" t="s">
        <v>2726</v>
      </c>
      <c r="ER18" t="s">
        <v>3487</v>
      </c>
      <c r="ES18" t="s">
        <v>3487</v>
      </c>
      <c r="FC18" s="404"/>
      <c r="FD18" s="404"/>
      <c r="FE18" s="404"/>
      <c r="FF18" s="404"/>
      <c r="FH18" s="404"/>
      <c r="FI18" s="404"/>
    </row>
    <row r="19" spans="1:168">
      <c r="A19" t="str">
        <f>'Translate&amp;Prices&amp;Logo'!$B$59</f>
        <v>ASTI black matt - maximum profile length 2150 mm</v>
      </c>
      <c r="B19">
        <v>1</v>
      </c>
      <c r="C19" t="s">
        <v>1931</v>
      </c>
      <c r="D19">
        <v>0</v>
      </c>
      <c r="F19" t="str">
        <f>'Translate&amp;Prices&amp;Logo'!$B$81</f>
        <v>Rocca black (Left and right) + Varna black (Top and bottom)</v>
      </c>
      <c r="AA19" t="s">
        <v>1899</v>
      </c>
      <c r="AB19" t="s">
        <v>1906</v>
      </c>
      <c r="AC19">
        <v>0</v>
      </c>
      <c r="AD19">
        <v>0</v>
      </c>
      <c r="AF19" t="s">
        <v>215</v>
      </c>
      <c r="AG19" t="s">
        <v>1910</v>
      </c>
      <c r="AY19" t="s">
        <v>3473</v>
      </c>
      <c r="AZ19" t="s">
        <v>3477</v>
      </c>
      <c r="CA19">
        <v>672</v>
      </c>
      <c r="DN19" t="s">
        <v>2563</v>
      </c>
      <c r="DO19" t="s">
        <v>98</v>
      </c>
      <c r="ED19" t="s">
        <v>2633</v>
      </c>
      <c r="EE19" t="s">
        <v>2727</v>
      </c>
      <c r="ER19" t="s">
        <v>3489</v>
      </c>
      <c r="ES19" t="s">
        <v>3489</v>
      </c>
      <c r="FE19" s="404"/>
      <c r="FF19" s="404"/>
      <c r="FH19" s="404"/>
      <c r="FI19" s="404"/>
    </row>
    <row r="20" spans="1:168">
      <c r="A20" t="str">
        <f>'Translate&amp;Prices&amp;Logo'!$B$60</f>
        <v>ASTI anthracite RAL 7021 matt - maximum profile length 2500 mm</v>
      </c>
      <c r="B20">
        <v>1</v>
      </c>
      <c r="C20" t="s">
        <v>1931</v>
      </c>
      <c r="D20">
        <v>0</v>
      </c>
      <c r="AA20" t="s">
        <v>1899</v>
      </c>
      <c r="AB20" t="s">
        <v>1902</v>
      </c>
      <c r="AC20">
        <v>1</v>
      </c>
      <c r="AD20">
        <v>0</v>
      </c>
      <c r="AF20" t="s">
        <v>216</v>
      </c>
      <c r="AG20" t="s">
        <v>1910</v>
      </c>
      <c r="AY20" t="s">
        <v>3473</v>
      </c>
      <c r="AZ20" t="s">
        <v>3478</v>
      </c>
      <c r="CA20">
        <v>736</v>
      </c>
      <c r="DN20" t="s">
        <v>2420</v>
      </c>
      <c r="DO20" t="s">
        <v>99</v>
      </c>
      <c r="ED20" t="s">
        <v>2634</v>
      </c>
      <c r="EE20" t="s">
        <v>2728</v>
      </c>
      <c r="ER20" t="s">
        <v>3491</v>
      </c>
      <c r="ES20" t="s">
        <v>3491</v>
      </c>
    </row>
    <row r="21" spans="1:168">
      <c r="A21" t="str">
        <f>'Translate&amp;Prices&amp;Logo'!$B$19</f>
        <v>Imola (elox.) - maximum profile length 2500 mm</v>
      </c>
      <c r="B21">
        <v>2</v>
      </c>
      <c r="C21" t="s">
        <v>1931</v>
      </c>
      <c r="D21">
        <v>0</v>
      </c>
      <c r="AA21" t="s">
        <v>1899</v>
      </c>
      <c r="AB21" t="s">
        <v>2058</v>
      </c>
      <c r="AC21">
        <v>1</v>
      </c>
      <c r="AD21">
        <v>0</v>
      </c>
      <c r="AF21" t="s">
        <v>215</v>
      </c>
      <c r="AG21" t="s">
        <v>1911</v>
      </c>
      <c r="CA21">
        <v>768</v>
      </c>
      <c r="DN21" t="s">
        <v>1660</v>
      </c>
      <c r="DO21" t="s">
        <v>100</v>
      </c>
      <c r="ED21" t="s">
        <v>2635</v>
      </c>
      <c r="EE21" t="s">
        <v>2729</v>
      </c>
      <c r="ER21" t="s">
        <v>3493</v>
      </c>
      <c r="ES21" t="s">
        <v>3493</v>
      </c>
    </row>
    <row r="22" spans="1:168">
      <c r="A22" t="str">
        <f>'Translate&amp;Prices&amp;Logo'!$B$20</f>
        <v>Imola black matt - maximum profile length 2500 mm</v>
      </c>
      <c r="B22">
        <v>2</v>
      </c>
      <c r="C22" t="s">
        <v>1931</v>
      </c>
      <c r="D22">
        <v>0</v>
      </c>
      <c r="AA22" t="s">
        <v>1899</v>
      </c>
      <c r="AB22" t="s">
        <v>1907</v>
      </c>
      <c r="AC22">
        <v>1</v>
      </c>
      <c r="AD22">
        <v>0</v>
      </c>
      <c r="AF22" t="s">
        <v>216</v>
      </c>
      <c r="AG22" t="s">
        <v>1911</v>
      </c>
      <c r="CA22">
        <v>832</v>
      </c>
      <c r="DN22" s="487" t="s">
        <v>4952</v>
      </c>
      <c r="DO22" s="11" t="s">
        <v>98</v>
      </c>
      <c r="ED22" t="s">
        <v>2636</v>
      </c>
      <c r="EE22" t="s">
        <v>2730</v>
      </c>
      <c r="ER22" t="s">
        <v>3132</v>
      </c>
      <c r="ES22" t="s">
        <v>3132</v>
      </c>
    </row>
    <row r="23" spans="1:168">
      <c r="A23" t="str">
        <f>'Translate&amp;Prices&amp;Logo'!$B$21</f>
        <v>Imola white matt RAL 9003 - maximum profile length 2500 mm</v>
      </c>
      <c r="B23">
        <v>2</v>
      </c>
      <c r="C23" t="s">
        <v>1931</v>
      </c>
      <c r="D23">
        <v>0</v>
      </c>
      <c r="AA23" t="s">
        <v>1899</v>
      </c>
      <c r="AB23" t="e">
        <f>IF(Ram_1!AU7=2,"FREEspace"," ")</f>
        <v>#N/A</v>
      </c>
      <c r="AC23">
        <v>0</v>
      </c>
      <c r="AD23">
        <v>0</v>
      </c>
      <c r="AF23" t="s">
        <v>215</v>
      </c>
      <c r="AG23" t="s">
        <v>1912</v>
      </c>
      <c r="CA23">
        <v>960</v>
      </c>
      <c r="DN23" s="487" t="s">
        <v>4953</v>
      </c>
      <c r="DO23" s="11" t="s">
        <v>99</v>
      </c>
      <c r="ED23" t="s">
        <v>2637</v>
      </c>
      <c r="EE23" t="s">
        <v>4302</v>
      </c>
      <c r="ER23" t="s">
        <v>3133</v>
      </c>
      <c r="ES23" t="s">
        <v>3133</v>
      </c>
    </row>
    <row r="24" spans="1:168">
      <c r="A24" t="str">
        <f>'Translate&amp;Prices&amp;Logo'!$B$45</f>
        <v>Imola gold - maximum profile length 2150 mm</v>
      </c>
      <c r="B24">
        <v>2</v>
      </c>
      <c r="C24" t="s">
        <v>1931</v>
      </c>
      <c r="D24">
        <v>0</v>
      </c>
      <c r="AF24" t="s">
        <v>216</v>
      </c>
      <c r="AG24" t="s">
        <v>1912</v>
      </c>
      <c r="DN24" s="487" t="s">
        <v>4954</v>
      </c>
      <c r="DO24" s="11" t="s">
        <v>100</v>
      </c>
      <c r="ED24" t="s">
        <v>2638</v>
      </c>
      <c r="EE24" t="s">
        <v>4303</v>
      </c>
      <c r="ER24" t="s">
        <v>3134</v>
      </c>
      <c r="ES24" t="s">
        <v>3134</v>
      </c>
    </row>
    <row r="25" spans="1:168">
      <c r="A25" t="str">
        <f>'Translate&amp;Prices&amp;Logo'!$B$22</f>
        <v>Modena (elox.) - maximum profile length 2500 mm</v>
      </c>
      <c r="B25">
        <v>2</v>
      </c>
      <c r="C25" t="s">
        <v>1122</v>
      </c>
      <c r="D25">
        <v>0</v>
      </c>
      <c r="AF25" t="s">
        <v>215</v>
      </c>
      <c r="AG25" t="s">
        <v>1913</v>
      </c>
      <c r="ED25" t="s">
        <v>2639</v>
      </c>
      <c r="EE25" t="s">
        <v>4304</v>
      </c>
      <c r="ER25" t="s">
        <v>3139</v>
      </c>
      <c r="ES25" t="s">
        <v>3139</v>
      </c>
    </row>
    <row r="26" spans="1:168">
      <c r="A26" t="str">
        <f>'Translate&amp;Prices&amp;Logo'!$B$23</f>
        <v>Modena black matt - maximum profile length 2500 mm</v>
      </c>
      <c r="B26">
        <v>2</v>
      </c>
      <c r="C26" t="s">
        <v>1122</v>
      </c>
      <c r="D26">
        <v>0</v>
      </c>
      <c r="AF26" t="s">
        <v>216</v>
      </c>
      <c r="AG26" t="s">
        <v>1913</v>
      </c>
      <c r="ED26" t="s">
        <v>2640</v>
      </c>
      <c r="EE26" t="s">
        <v>4305</v>
      </c>
      <c r="ER26" t="s">
        <v>3140</v>
      </c>
      <c r="ES26" t="s">
        <v>3140</v>
      </c>
    </row>
    <row r="27" spans="1:168">
      <c r="A27" t="str">
        <f>'Translate&amp;Prices&amp;Logo'!$B$25</f>
        <v>black black brushed - maximum profile length 2500 mm</v>
      </c>
      <c r="B27">
        <v>2</v>
      </c>
      <c r="C27" t="s">
        <v>1122</v>
      </c>
      <c r="D27">
        <v>0</v>
      </c>
      <c r="AF27" t="s">
        <v>215</v>
      </c>
      <c r="AG27" t="s">
        <v>1914</v>
      </c>
      <c r="ED27" t="s">
        <v>2641</v>
      </c>
      <c r="EE27" t="s">
        <v>4307</v>
      </c>
      <c r="ER27" t="s">
        <v>3141</v>
      </c>
      <c r="ES27" t="s">
        <v>3141</v>
      </c>
    </row>
    <row r="28" spans="1:168">
      <c r="A28" t="str">
        <f>'Translate&amp;Prices&amp;Logo'!$B$26</f>
        <v>Modena dark stainless steel brushed - maximum profile length 2500 mm</v>
      </c>
      <c r="B28">
        <v>2</v>
      </c>
      <c r="C28" t="s">
        <v>1122</v>
      </c>
      <c r="D28">
        <v>0</v>
      </c>
      <c r="AA28" t="s">
        <v>3053</v>
      </c>
      <c r="AB28" t="s">
        <v>1945</v>
      </c>
      <c r="AF28" t="s">
        <v>216</v>
      </c>
      <c r="AG28" t="s">
        <v>1914</v>
      </c>
      <c r="ED28" t="s">
        <v>2642</v>
      </c>
      <c r="EE28" t="s">
        <v>4308</v>
      </c>
      <c r="ER28" t="s">
        <v>3494</v>
      </c>
      <c r="ES28" t="s">
        <v>3494</v>
      </c>
    </row>
    <row r="29" spans="1:168">
      <c r="A29" t="str">
        <f>'Translate&amp;Prices&amp;Logo'!$B$29</f>
        <v>Pisa (elox.) - maximum profile length 2500 mm</v>
      </c>
      <c r="B29">
        <v>2</v>
      </c>
      <c r="C29" t="s">
        <v>1931</v>
      </c>
      <c r="D29">
        <v>0</v>
      </c>
      <c r="AA29" t="s">
        <v>1909</v>
      </c>
      <c r="AB29" t="s">
        <v>1908</v>
      </c>
      <c r="AC29">
        <v>1</v>
      </c>
      <c r="AD29">
        <v>0</v>
      </c>
      <c r="AF29" t="s">
        <v>215</v>
      </c>
      <c r="AG29" t="s">
        <v>1915</v>
      </c>
      <c r="ED29" t="s">
        <v>2643</v>
      </c>
      <c r="EE29" t="s">
        <v>4309</v>
      </c>
      <c r="ER29" t="s">
        <v>3495</v>
      </c>
      <c r="ES29" t="s">
        <v>3495</v>
      </c>
    </row>
    <row r="30" spans="1:168">
      <c r="A30" t="str">
        <f>'Translate&amp;Prices&amp;Logo'!$B$52</f>
        <v>Pisa white matt RAL 9003 - maximum profile length 2500 mm</v>
      </c>
      <c r="B30">
        <v>2</v>
      </c>
      <c r="C30" t="s">
        <v>1931</v>
      </c>
      <c r="D30">
        <v>0</v>
      </c>
      <c r="AA30" t="s">
        <v>1909</v>
      </c>
      <c r="AB30" t="str">
        <f>CONCATENATE('Translate&amp;Prices&amp;Logo'!B664,"_K12")</f>
        <v>bottom_K12</v>
      </c>
      <c r="AC30">
        <v>1</v>
      </c>
      <c r="AD30">
        <v>0</v>
      </c>
      <c r="AF30" t="s">
        <v>216</v>
      </c>
      <c r="AG30" t="s">
        <v>1915</v>
      </c>
      <c r="ED30" t="s">
        <v>2644</v>
      </c>
      <c r="EE30" t="s">
        <v>4310</v>
      </c>
      <c r="ER30" t="s">
        <v>3496</v>
      </c>
      <c r="ES30" t="s">
        <v>3496</v>
      </c>
    </row>
    <row r="31" spans="1:168">
      <c r="A31" t="str">
        <f>'Translate&amp;Prices&amp;Logo'!$B$53</f>
        <v>Pisa white gloss RAL 9003 - maximum profile length 2500 mm</v>
      </c>
      <c r="B31">
        <v>2</v>
      </c>
      <c r="C31" t="s">
        <v>1931</v>
      </c>
      <c r="D31">
        <v>0</v>
      </c>
      <c r="AA31" t="s">
        <v>1909</v>
      </c>
      <c r="AB31" t="s">
        <v>1911</v>
      </c>
      <c r="AC31">
        <v>1</v>
      </c>
      <c r="AD31">
        <v>0</v>
      </c>
      <c r="AF31" t="s">
        <v>215</v>
      </c>
      <c r="AG31" t="s">
        <v>1916</v>
      </c>
      <c r="ED31" t="s">
        <v>2645</v>
      </c>
      <c r="EE31" t="s">
        <v>4311</v>
      </c>
      <c r="ER31" t="s">
        <v>3497</v>
      </c>
      <c r="ES31" t="s">
        <v>3497</v>
      </c>
    </row>
    <row r="32" spans="1:168">
      <c r="A32" t="str">
        <f>'Translate&amp;Prices&amp;Logo'!$B$30</f>
        <v>Pisa black matt - maximum profile length 2500 mm</v>
      </c>
      <c r="B32">
        <v>2</v>
      </c>
      <c r="C32" t="s">
        <v>1931</v>
      </c>
      <c r="D32">
        <v>0</v>
      </c>
      <c r="AA32" t="s">
        <v>1909</v>
      </c>
      <c r="AB32" t="str">
        <f>CONCATENATE('Translate&amp;Prices&amp;Logo'!B664,"_kraby")</f>
        <v>bottom_kraby</v>
      </c>
      <c r="AC32">
        <v>1</v>
      </c>
      <c r="AD32">
        <v>0</v>
      </c>
      <c r="AF32" t="s">
        <v>216</v>
      </c>
      <c r="AG32" t="s">
        <v>1916</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2646</v>
      </c>
      <c r="EE32" t="s">
        <v>4312</v>
      </c>
      <c r="ER32" t="s">
        <v>3498</v>
      </c>
      <c r="ES32" t="s">
        <v>3498</v>
      </c>
    </row>
    <row r="33" spans="1:149">
      <c r="A33" t="str">
        <f>'Translate&amp;Prices&amp;Logo'!$B$58</f>
        <v>Pisa gold - maximum profile length 2150 mm</v>
      </c>
      <c r="B33">
        <v>2</v>
      </c>
      <c r="C33" t="s">
        <v>1931</v>
      </c>
      <c r="D33">
        <v>0</v>
      </c>
      <c r="AA33" t="s">
        <v>1909</v>
      </c>
      <c r="AB33" t="s">
        <v>1913</v>
      </c>
      <c r="AC33">
        <v>1</v>
      </c>
      <c r="AD33">
        <v>0</v>
      </c>
      <c r="AF33" t="s">
        <v>215</v>
      </c>
      <c r="AG33" t="s">
        <v>1918</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2647</v>
      </c>
      <c r="EE33" t="s">
        <v>4313</v>
      </c>
      <c r="ER33" t="s">
        <v>3499</v>
      </c>
      <c r="ES33" t="s">
        <v>3499</v>
      </c>
    </row>
    <row r="34" spans="1:149">
      <c r="A34" t="str">
        <f>'Translate&amp;Prices&amp;Logo'!$B$50</f>
        <v>Rocca (elox.) - maximum profile length 2150 mm</v>
      </c>
      <c r="B34">
        <v>1</v>
      </c>
      <c r="C34" t="s">
        <v>1122</v>
      </c>
      <c r="D34">
        <v>0</v>
      </c>
      <c r="AA34" t="s">
        <v>1909</v>
      </c>
      <c r="AB34" t="s">
        <v>1914</v>
      </c>
      <c r="AC34">
        <v>1</v>
      </c>
      <c r="AD34">
        <v>0</v>
      </c>
      <c r="AF34" t="s">
        <v>216</v>
      </c>
      <c r="AG34" t="s">
        <v>1918</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2648</v>
      </c>
      <c r="EE34" t="s">
        <v>4314</v>
      </c>
      <c r="ER34" t="s">
        <v>3142</v>
      </c>
      <c r="ES34" t="s">
        <v>3142</v>
      </c>
    </row>
    <row r="35" spans="1:149">
      <c r="A35" t="str">
        <f>'Translate&amp;Prices&amp;Logo'!$B$42</f>
        <v>Rocca black matt - maximum profile length 2150 mm</v>
      </c>
      <c r="B35">
        <v>1</v>
      </c>
      <c r="C35" t="s">
        <v>1122</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2649</v>
      </c>
      <c r="EE35" t="s">
        <v>2743</v>
      </c>
      <c r="ER35" t="s">
        <v>3143</v>
      </c>
      <c r="ES35" t="s">
        <v>3143</v>
      </c>
    </row>
    <row r="36" spans="1:149">
      <c r="A36" t="str">
        <f>'Translate&amp;Prices&amp;Logo'!$B$34</f>
        <v>Verona (elox.) - maximum profile length 2500 mm</v>
      </c>
      <c r="B36">
        <v>1</v>
      </c>
      <c r="C36" t="s">
        <v>1122</v>
      </c>
      <c r="D36">
        <v>0</v>
      </c>
      <c r="ED36" t="s">
        <v>2588</v>
      </c>
      <c r="EE36" t="s">
        <v>2744</v>
      </c>
      <c r="ER36" t="s">
        <v>3144</v>
      </c>
      <c r="ES36" t="s">
        <v>3144</v>
      </c>
    </row>
    <row r="37" spans="1:149">
      <c r="A37" t="str">
        <f>'Translate&amp;Prices&amp;Logo'!$B$35</f>
        <v>Verona brushed aluminium - maximum profile length 2500 mm</v>
      </c>
      <c r="B37">
        <v>1</v>
      </c>
      <c r="C37" t="s">
        <v>1122</v>
      </c>
      <c r="D37">
        <v>0</v>
      </c>
      <c r="BY37" t="s">
        <v>2298</v>
      </c>
      <c r="ED37" t="s">
        <v>2589</v>
      </c>
      <c r="EE37" t="s">
        <v>2745</v>
      </c>
      <c r="ER37" t="s">
        <v>3189</v>
      </c>
      <c r="ES37" t="s">
        <v>3183</v>
      </c>
    </row>
    <row r="38" spans="1:149">
      <c r="A38" t="str">
        <f>'Translate&amp;Prices&amp;Logo'!$B$37</f>
        <v>Verona black matt - maximum profile length 2500 mm</v>
      </c>
      <c r="B38">
        <v>1</v>
      </c>
      <c r="C38" t="s">
        <v>1122</v>
      </c>
      <c r="D38">
        <v>0</v>
      </c>
      <c r="ED38" t="s">
        <v>2590</v>
      </c>
      <c r="EE38" t="s">
        <v>2746</v>
      </c>
      <c r="ER38" t="s">
        <v>3190</v>
      </c>
      <c r="ES38" t="s">
        <v>3184</v>
      </c>
    </row>
    <row r="39" spans="1:149">
      <c r="A39" t="str">
        <f>'Translate&amp;Prices&amp;Logo'!$B$36</f>
        <v>Verona black gloss - maximum profile length 2500 mm</v>
      </c>
      <c r="B39">
        <v>1</v>
      </c>
      <c r="C39" t="s">
        <v>1122</v>
      </c>
      <c r="D39">
        <v>0</v>
      </c>
      <c r="AA39" t="s">
        <v>3537</v>
      </c>
      <c r="AB39" t="s">
        <v>3535</v>
      </c>
      <c r="ED39" t="s">
        <v>2591</v>
      </c>
      <c r="EE39" t="s">
        <v>2747</v>
      </c>
      <c r="ER39" t="s">
        <v>3191</v>
      </c>
      <c r="ES39" t="s">
        <v>3185</v>
      </c>
    </row>
    <row r="40" spans="1:149">
      <c r="A40" t="str">
        <f>'Translate&amp;Prices&amp;Logo'!$B$38</f>
        <v>Verona brown - maximum profile length 2500 mm</v>
      </c>
      <c r="B40">
        <v>1</v>
      </c>
      <c r="C40" t="s">
        <v>1122</v>
      </c>
      <c r="D40">
        <v>0</v>
      </c>
      <c r="AA40" t="s">
        <v>3537</v>
      </c>
      <c r="AB40" t="str">
        <f>'Translate&amp;Prices&amp;Logo'!B659</f>
        <v>StrongLift_upper</v>
      </c>
      <c r="AC40">
        <v>1</v>
      </c>
      <c r="AD40">
        <v>0</v>
      </c>
      <c r="ED40" t="s">
        <v>2592</v>
      </c>
      <c r="EE40" t="s">
        <v>2748</v>
      </c>
      <c r="ER40" t="s">
        <v>3192</v>
      </c>
      <c r="ES40" t="s">
        <v>3186</v>
      </c>
    </row>
    <row r="41" spans="1:149">
      <c r="A41" t="str">
        <f>'Translate&amp;Prices&amp;Logo'!$B$39</f>
        <v>Verona champagne - maximum profile length 2500 mm</v>
      </c>
      <c r="B41">
        <v>1</v>
      </c>
      <c r="C41" t="s">
        <v>1122</v>
      </c>
      <c r="D41">
        <v>0</v>
      </c>
      <c r="AB41" t="str">
        <f>'Translate&amp;Prices&amp;Logo'!B660</f>
        <v>StrongLift_bottom</v>
      </c>
      <c r="AC41">
        <v>1</v>
      </c>
      <c r="AD41">
        <v>0</v>
      </c>
      <c r="ED41" t="s">
        <v>2593</v>
      </c>
      <c r="EE41" t="s">
        <v>2749</v>
      </c>
      <c r="ER41" t="s">
        <v>3193</v>
      </c>
      <c r="ES41" t="s">
        <v>3187</v>
      </c>
    </row>
    <row r="42" spans="1:149">
      <c r="A42" t="str">
        <f>'Translate&amp;Prices&amp;Logo'!$B$40</f>
        <v>Verona dark stainless steel brushed - maximum profile length 2500 mm</v>
      </c>
      <c r="B42">
        <v>1</v>
      </c>
      <c r="C42" t="s">
        <v>1122</v>
      </c>
      <c r="D42">
        <v>0</v>
      </c>
      <c r="AA42" t="s">
        <v>3054</v>
      </c>
      <c r="AB42" t="s">
        <v>1944</v>
      </c>
      <c r="ED42" t="s">
        <v>2594</v>
      </c>
      <c r="EE42" t="s">
        <v>2750</v>
      </c>
      <c r="ER42" t="s">
        <v>3194</v>
      </c>
      <c r="ES42" t="s">
        <v>3188</v>
      </c>
    </row>
    <row r="43" spans="1:149">
      <c r="A43" t="str">
        <f>'Translate&amp;Prices&amp;Logo'!$B$41</f>
        <v>Verona light stainless steel (Acier grata) - maximum profile length 2500 mm</v>
      </c>
      <c r="B43">
        <v>1</v>
      </c>
      <c r="C43" t="s">
        <v>1122</v>
      </c>
      <c r="D43">
        <v>0</v>
      </c>
      <c r="AA43" t="s">
        <v>1917</v>
      </c>
      <c r="AB43" t="s">
        <v>2064</v>
      </c>
      <c r="AC43">
        <v>0</v>
      </c>
      <c r="AD43">
        <v>0</v>
      </c>
      <c r="ED43" t="s">
        <v>2595</v>
      </c>
      <c r="EE43" t="s">
        <v>2751</v>
      </c>
      <c r="ER43" t="s">
        <v>3508</v>
      </c>
      <c r="ES43" t="s">
        <v>3500</v>
      </c>
    </row>
    <row r="44" spans="1:149">
      <c r="A44" t="str">
        <f>'Translate&amp;Prices&amp;Logo'!$B$24</f>
        <v>Verona gold - maximum profile length 2150 mm</v>
      </c>
      <c r="B44">
        <v>1</v>
      </c>
      <c r="C44" t="s">
        <v>1122</v>
      </c>
      <c r="D44">
        <v>0</v>
      </c>
      <c r="AA44" t="s">
        <v>1917</v>
      </c>
      <c r="AB44" t="s">
        <v>1918</v>
      </c>
      <c r="AC44">
        <v>1</v>
      </c>
      <c r="AD44">
        <v>0</v>
      </c>
      <c r="ED44" t="s">
        <v>2596</v>
      </c>
      <c r="EE44" t="s">
        <v>2752</v>
      </c>
      <c r="ER44" t="s">
        <v>3509</v>
      </c>
      <c r="ES44" t="s">
        <v>3501</v>
      </c>
    </row>
    <row r="45" spans="1:149">
      <c r="A45" t="str">
        <f>'Translate&amp;Prices&amp;Logo'!$B$56</f>
        <v>Verona gold brushed - maximum profile length 2150 mm</v>
      </c>
      <c r="B45">
        <v>1</v>
      </c>
      <c r="C45" t="s">
        <v>1122</v>
      </c>
      <c r="D45">
        <v>0</v>
      </c>
      <c r="AB45" t="s">
        <v>2065</v>
      </c>
      <c r="AC45">
        <v>0</v>
      </c>
      <c r="AD45">
        <v>0</v>
      </c>
      <c r="ED45" t="s">
        <v>2597</v>
      </c>
      <c r="EE45" t="s">
        <v>2753</v>
      </c>
      <c r="ER45" t="s">
        <v>3213</v>
      </c>
      <c r="ES45" t="s">
        <v>3207</v>
      </c>
    </row>
    <row r="46" spans="1:149">
      <c r="A46" t="str">
        <f>'Translate&amp;Prices&amp;Logo'!$B$43</f>
        <v>Vivaro (elox.) - maximum profile length 2500 mm</v>
      </c>
      <c r="B46">
        <v>2</v>
      </c>
      <c r="C46" t="s">
        <v>1122</v>
      </c>
      <c r="D46">
        <v>1</v>
      </c>
      <c r="ED46" t="s">
        <v>2598</v>
      </c>
      <c r="EE46" t="s">
        <v>2754</v>
      </c>
      <c r="ER46" t="s">
        <v>3214</v>
      </c>
      <c r="ES46" t="s">
        <v>3208</v>
      </c>
    </row>
    <row r="47" spans="1:149">
      <c r="A47" t="str">
        <f>'Translate&amp;Prices&amp;Logo'!$B$44</f>
        <v>Vivaro black matt - maximum profile length 2500 mm</v>
      </c>
      <c r="B47">
        <v>2</v>
      </c>
      <c r="C47" t="s">
        <v>1122</v>
      </c>
      <c r="D47">
        <v>1</v>
      </c>
      <c r="ED47" t="s">
        <v>2599</v>
      </c>
      <c r="EE47" t="s">
        <v>2755</v>
      </c>
      <c r="ER47" t="s">
        <v>3215</v>
      </c>
      <c r="ES47" t="s">
        <v>3209</v>
      </c>
    </row>
    <row r="48" spans="1:149">
      <c r="A48" t="str">
        <f>'Translate&amp;Prices&amp;Logo'!$B$46</f>
        <v>Vivaro dark stainless steel - maximum profile length 2500 mm</v>
      </c>
      <c r="B48">
        <v>2</v>
      </c>
      <c r="C48" t="s">
        <v>1122</v>
      </c>
      <c r="D48">
        <v>0</v>
      </c>
      <c r="ED48" t="s">
        <v>2600</v>
      </c>
      <c r="EE48" t="s">
        <v>2756</v>
      </c>
      <c r="ER48" t="s">
        <v>3216</v>
      </c>
      <c r="ES48" t="s">
        <v>3210</v>
      </c>
    </row>
    <row r="49" spans="1:149">
      <c r="A49" t="str">
        <f>'Translate&amp;Prices&amp;Logo'!$B$47</f>
        <v>Vivaro white matt RAL 9003 - maximum profile length 2500 mm</v>
      </c>
      <c r="B49">
        <v>2</v>
      </c>
      <c r="C49" t="s">
        <v>1122</v>
      </c>
      <c r="D49">
        <v>0</v>
      </c>
      <c r="AA49" t="s">
        <v>3055</v>
      </c>
      <c r="AB49" t="s">
        <v>3057</v>
      </c>
      <c r="ED49" t="s">
        <v>2601</v>
      </c>
      <c r="EE49" t="s">
        <v>2757</v>
      </c>
      <c r="ER49" t="s">
        <v>3217</v>
      </c>
      <c r="ES49" t="s">
        <v>3211</v>
      </c>
    </row>
    <row r="50" spans="1:149">
      <c r="A50" t="str">
        <f>'Translate&amp;Prices&amp;Logo'!$B$48</f>
        <v>Vivaro white gloss RAL 9003 - maximum profile length 2500 mm</v>
      </c>
      <c r="B50">
        <v>2</v>
      </c>
      <c r="C50" t="s">
        <v>1122</v>
      </c>
      <c r="D50">
        <v>0</v>
      </c>
      <c r="AB50" t="s">
        <v>3408</v>
      </c>
      <c r="AC50">
        <v>0</v>
      </c>
      <c r="AD50">
        <v>0</v>
      </c>
      <c r="ED50" t="s">
        <v>2602</v>
      </c>
      <c r="EE50" t="s">
        <v>2758</v>
      </c>
      <c r="ER50" t="s">
        <v>3218</v>
      </c>
      <c r="ES50" t="s">
        <v>3212</v>
      </c>
    </row>
    <row r="51" spans="1:149">
      <c r="A51" t="str">
        <f>'Translate&amp;Prices&amp;Logo'!$B$31</f>
        <v>Vivaro gold - maximum profile length 2150 mm</v>
      </c>
      <c r="B51">
        <v>2</v>
      </c>
      <c r="C51" t="s">
        <v>1122</v>
      </c>
      <c r="D51">
        <v>1</v>
      </c>
      <c r="AB51" t="s">
        <v>3410</v>
      </c>
      <c r="AC51">
        <v>0</v>
      </c>
      <c r="AD51">
        <v>0</v>
      </c>
      <c r="ED51" t="s">
        <v>2603</v>
      </c>
      <c r="EE51" t="s">
        <v>2759</v>
      </c>
      <c r="ER51" t="s">
        <v>3510</v>
      </c>
      <c r="ES51" t="s">
        <v>3502</v>
      </c>
    </row>
    <row r="52" spans="1:149">
      <c r="A52" t="str">
        <f>'Translate&amp;Prices&amp;Logo'!$B$57</f>
        <v>Vivaro gold brushed - maximum profile length 2150 mm</v>
      </c>
      <c r="B52">
        <v>2</v>
      </c>
      <c r="C52" t="s">
        <v>1122</v>
      </c>
      <c r="D52">
        <v>0</v>
      </c>
      <c r="AB52" t="s">
        <v>3405</v>
      </c>
      <c r="AC52">
        <v>0</v>
      </c>
      <c r="AD52">
        <v>0</v>
      </c>
      <c r="ED52" t="s">
        <v>2604</v>
      </c>
      <c r="EE52" t="s">
        <v>2760</v>
      </c>
      <c r="ER52" t="s">
        <v>3511</v>
      </c>
      <c r="ES52" t="s">
        <v>3503</v>
      </c>
    </row>
    <row r="53" spans="1:149">
      <c r="A53" t="str">
        <f>'Translate&amp;Prices&amp;Logo'!$B$80</f>
        <v>Rocca elox (Left and Right) + Varna elox (Top and Bottom)</v>
      </c>
      <c r="B53">
        <v>3</v>
      </c>
      <c r="C53" t="s">
        <v>1122</v>
      </c>
      <c r="D53">
        <v>0</v>
      </c>
      <c r="AB53" t="s">
        <v>3406</v>
      </c>
      <c r="AC53">
        <v>0</v>
      </c>
      <c r="AD53">
        <v>0</v>
      </c>
      <c r="ED53" t="s">
        <v>2605</v>
      </c>
      <c r="EE53" t="s">
        <v>2761</v>
      </c>
      <c r="ER53" t="s">
        <v>3512</v>
      </c>
      <c r="ES53" t="s">
        <v>3504</v>
      </c>
    </row>
    <row r="54" spans="1:149">
      <c r="A54" t="str">
        <f>'Translate&amp;Prices&amp;Logo'!$B$81</f>
        <v>Rocca black (Left and right) + Varna black (Top and bottom)</v>
      </c>
      <c r="B54">
        <v>3</v>
      </c>
      <c r="C54" t="s">
        <v>1122</v>
      </c>
      <c r="D54">
        <v>0</v>
      </c>
      <c r="ED54" t="s">
        <v>2606</v>
      </c>
      <c r="EE54" t="s">
        <v>2762</v>
      </c>
      <c r="ER54" t="s">
        <v>3513</v>
      </c>
      <c r="ES54" t="s">
        <v>3505</v>
      </c>
    </row>
    <row r="55" spans="1:149">
      <c r="A55" t="str">
        <f>'Translate&amp;Prices&amp;Logo'!$B$71</f>
        <v>ROMA black matt  - maximum profile length 2696 mm</v>
      </c>
      <c r="B55">
        <v>1</v>
      </c>
      <c r="C55" t="s">
        <v>1122</v>
      </c>
      <c r="D55">
        <v>0</v>
      </c>
      <c r="ED55" t="s">
        <v>2607</v>
      </c>
      <c r="EE55" t="s">
        <v>2763</v>
      </c>
      <c r="ER55" t="s">
        <v>3514</v>
      </c>
      <c r="ES55" t="s">
        <v>3506</v>
      </c>
    </row>
    <row r="56" spans="1:149">
      <c r="A56" t="str">
        <f>'Translate&amp;Prices&amp;Logo'!$B$72</f>
        <v>ROMA champagne matt  - maximum profile length 2696 mm</v>
      </c>
      <c r="B56">
        <v>1</v>
      </c>
      <c r="C56" t="s">
        <v>1122</v>
      </c>
      <c r="D56">
        <v>0</v>
      </c>
      <c r="ED56" t="s">
        <v>2608</v>
      </c>
      <c r="EE56" t="s">
        <v>2764</v>
      </c>
      <c r="ER56" t="s">
        <v>3515</v>
      </c>
      <c r="ES56" t="s">
        <v>3507</v>
      </c>
    </row>
    <row r="57" spans="1:149">
      <c r="A57" t="str">
        <f>'Translate&amp;Prices&amp;Logo'!$B$73</f>
        <v>ROMA GRIP black matt  - maximum profile length 2696 mm</v>
      </c>
      <c r="B57">
        <v>1</v>
      </c>
      <c r="C57" t="s">
        <v>1122</v>
      </c>
      <c r="D57">
        <v>0</v>
      </c>
      <c r="ED57" t="s">
        <v>2609</v>
      </c>
      <c r="EE57" t="s">
        <v>2765</v>
      </c>
      <c r="ER57" t="s">
        <v>3195</v>
      </c>
      <c r="ES57" t="s">
        <v>3183</v>
      </c>
    </row>
    <row r="58" spans="1:149">
      <c r="A58" t="str">
        <f>'Translate&amp;Prices&amp;Logo'!$B$74</f>
        <v>ROMA GRIP champagne matt  - maximum profile length 2696 mm</v>
      </c>
      <c r="B58">
        <v>1</v>
      </c>
      <c r="C58" t="s">
        <v>1122</v>
      </c>
      <c r="D58">
        <v>0</v>
      </c>
      <c r="ED58" t="s">
        <v>2610</v>
      </c>
      <c r="EE58" t="s">
        <v>2766</v>
      </c>
      <c r="ER58" t="s">
        <v>3196</v>
      </c>
      <c r="ES58" t="s">
        <v>3184</v>
      </c>
    </row>
    <row r="59" spans="1:149">
      <c r="AA59" t="s">
        <v>3056</v>
      </c>
      <c r="AB59" t="s">
        <v>3058</v>
      </c>
      <c r="ED59" t="s">
        <v>2611</v>
      </c>
      <c r="EE59" t="s">
        <v>2767</v>
      </c>
      <c r="ER59" t="s">
        <v>3197</v>
      </c>
      <c r="ES59" t="s">
        <v>3185</v>
      </c>
    </row>
    <row r="60" spans="1:149">
      <c r="AB60" t="s">
        <v>1901</v>
      </c>
      <c r="AC60">
        <v>0</v>
      </c>
      <c r="AD60">
        <v>0</v>
      </c>
      <c r="ED60" t="s">
        <v>2612</v>
      </c>
      <c r="EE60" t="s">
        <v>2768</v>
      </c>
      <c r="ER60" t="s">
        <v>3198</v>
      </c>
      <c r="ES60" t="s">
        <v>3186</v>
      </c>
    </row>
    <row r="61" spans="1:149">
      <c r="AB61" t="s">
        <v>1903</v>
      </c>
      <c r="AC61">
        <v>0</v>
      </c>
      <c r="AD61">
        <v>0</v>
      </c>
      <c r="ED61" t="s">
        <v>2613</v>
      </c>
      <c r="EE61" t="s">
        <v>2769</v>
      </c>
      <c r="ER61" t="s">
        <v>3199</v>
      </c>
      <c r="ES61" t="s">
        <v>3187</v>
      </c>
    </row>
    <row r="62" spans="1:149">
      <c r="AB62" t="s">
        <v>1904</v>
      </c>
      <c r="AC62">
        <v>0</v>
      </c>
      <c r="AD62">
        <v>0</v>
      </c>
      <c r="ED62" t="s">
        <v>2614</v>
      </c>
      <c r="EE62" t="s">
        <v>2770</v>
      </c>
      <c r="ER62" t="s">
        <v>3200</v>
      </c>
      <c r="ES62" t="s">
        <v>3188</v>
      </c>
    </row>
    <row r="63" spans="1:149">
      <c r="AB63" t="s">
        <v>1906</v>
      </c>
      <c r="AC63">
        <v>0</v>
      </c>
      <c r="AD63">
        <v>0</v>
      </c>
      <c r="ED63" t="s">
        <v>2615</v>
      </c>
      <c r="EE63" t="s">
        <v>2771</v>
      </c>
      <c r="ER63" t="s">
        <v>3516</v>
      </c>
      <c r="ES63" t="s">
        <v>3500</v>
      </c>
    </row>
    <row r="64" spans="1:149">
      <c r="ED64" t="s">
        <v>2616</v>
      </c>
      <c r="EE64" t="s">
        <v>2772</v>
      </c>
      <c r="ER64" t="s">
        <v>3517</v>
      </c>
      <c r="ES64" t="s">
        <v>3501</v>
      </c>
    </row>
    <row r="65" spans="1:149">
      <c r="ED65" t="s">
        <v>2650</v>
      </c>
      <c r="EE65" t="s">
        <v>4287</v>
      </c>
      <c r="EF65">
        <f>LEN(EE65)</f>
        <v>71</v>
      </c>
      <c r="ER65" t="s">
        <v>3219</v>
      </c>
      <c r="ES65" t="s">
        <v>3207</v>
      </c>
    </row>
    <row r="66" spans="1:149">
      <c r="ED66" t="s">
        <v>2651</v>
      </c>
      <c r="EE66" t="s">
        <v>4290</v>
      </c>
      <c r="ER66" t="s">
        <v>3220</v>
      </c>
      <c r="ES66" t="s">
        <v>3208</v>
      </c>
    </row>
    <row r="67" spans="1:149">
      <c r="Q67" t="str">
        <f>'Translate&amp;Prices&amp;Logo'!$B$69</f>
        <v>BRW champagne - maximum profile length 2500 mm</v>
      </c>
      <c r="ED67" t="s">
        <v>2652</v>
      </c>
      <c r="EE67" t="s">
        <v>4292</v>
      </c>
      <c r="ER67" t="s">
        <v>3221</v>
      </c>
      <c r="ES67" t="s">
        <v>3209</v>
      </c>
    </row>
    <row r="68" spans="1:149">
      <c r="ED68" t="s">
        <v>2653</v>
      </c>
      <c r="EE68" t="s">
        <v>4293</v>
      </c>
      <c r="ER68" t="s">
        <v>3222</v>
      </c>
      <c r="ES68" t="s">
        <v>3210</v>
      </c>
    </row>
    <row r="69" spans="1:149">
      <c r="ED69" t="s">
        <v>2654</v>
      </c>
      <c r="EE69" t="s">
        <v>4295</v>
      </c>
      <c r="ER69" t="s">
        <v>3223</v>
      </c>
      <c r="ES69" t="s">
        <v>3211</v>
      </c>
    </row>
    <row r="70" spans="1:149">
      <c r="ED70" t="s">
        <v>2655</v>
      </c>
      <c r="EE70" t="s">
        <v>4297</v>
      </c>
      <c r="ER70" t="s">
        <v>3224</v>
      </c>
      <c r="ES70" t="s">
        <v>3212</v>
      </c>
    </row>
    <row r="71" spans="1:149">
      <c r="ED71" t="s">
        <v>2656</v>
      </c>
      <c r="EE71" t="s">
        <v>4299</v>
      </c>
      <c r="ER71" t="s">
        <v>3518</v>
      </c>
      <c r="ES71" t="s">
        <v>3502</v>
      </c>
    </row>
    <row r="72" spans="1:149">
      <c r="ED72" t="s">
        <v>2657</v>
      </c>
      <c r="EE72" t="s">
        <v>4300</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4302</v>
      </c>
      <c r="ER86" t="s">
        <v>3226</v>
      </c>
      <c r="ES86" t="s">
        <v>3208</v>
      </c>
    </row>
    <row r="87" spans="134:149">
      <c r="ED87" t="s">
        <v>2670</v>
      </c>
      <c r="EE87" t="s">
        <v>4303</v>
      </c>
      <c r="ER87" t="s">
        <v>3227</v>
      </c>
      <c r="ES87" t="s">
        <v>3209</v>
      </c>
    </row>
    <row r="88" spans="134:149">
      <c r="ED88" t="s">
        <v>2671</v>
      </c>
      <c r="EE88" t="s">
        <v>4304</v>
      </c>
      <c r="ER88" t="s">
        <v>3228</v>
      </c>
      <c r="ES88" t="s">
        <v>3210</v>
      </c>
    </row>
    <row r="89" spans="134:149">
      <c r="ED89" t="s">
        <v>2672</v>
      </c>
      <c r="EE89" t="s">
        <v>4305</v>
      </c>
      <c r="ER89" t="s">
        <v>3229</v>
      </c>
      <c r="ES89" t="s">
        <v>3211</v>
      </c>
    </row>
    <row r="90" spans="134:149">
      <c r="ED90" t="s">
        <v>2673</v>
      </c>
      <c r="EE90" t="s">
        <v>4307</v>
      </c>
      <c r="ER90" t="s">
        <v>3230</v>
      </c>
      <c r="ES90" t="s">
        <v>3212</v>
      </c>
    </row>
    <row r="91" spans="134:149">
      <c r="ED91" t="s">
        <v>2674</v>
      </c>
      <c r="EE91" t="s">
        <v>4308</v>
      </c>
      <c r="ER91" t="s">
        <v>3526</v>
      </c>
      <c r="ES91" t="s">
        <v>3502</v>
      </c>
    </row>
    <row r="92" spans="134:149">
      <c r="ED92" t="s">
        <v>2675</v>
      </c>
      <c r="EE92" t="s">
        <v>4309</v>
      </c>
      <c r="ER92" t="s">
        <v>3527</v>
      </c>
      <c r="ES92" t="s">
        <v>3503</v>
      </c>
    </row>
    <row r="93" spans="134:149">
      <c r="ED93" t="s">
        <v>2676</v>
      </c>
      <c r="EE93" t="s">
        <v>4310</v>
      </c>
      <c r="ER93" t="s">
        <v>3528</v>
      </c>
      <c r="ES93" t="s">
        <v>3504</v>
      </c>
    </row>
    <row r="94" spans="134:149">
      <c r="ED94" t="s">
        <v>2677</v>
      </c>
      <c r="EE94" t="s">
        <v>4311</v>
      </c>
      <c r="ER94" t="s">
        <v>3529</v>
      </c>
      <c r="ES94" t="s">
        <v>3505</v>
      </c>
    </row>
    <row r="95" spans="134:149">
      <c r="ED95" t="s">
        <v>2678</v>
      </c>
      <c r="EE95" t="s">
        <v>4312</v>
      </c>
      <c r="ER95" t="s">
        <v>3530</v>
      </c>
      <c r="ES95" t="s">
        <v>3506</v>
      </c>
    </row>
    <row r="96" spans="134:149">
      <c r="ED96" t="s">
        <v>2679</v>
      </c>
      <c r="EE96" t="s">
        <v>4313</v>
      </c>
      <c r="ER96" t="s">
        <v>3531</v>
      </c>
      <c r="ES96" t="s">
        <v>3507</v>
      </c>
    </row>
    <row r="97" spans="134:149">
      <c r="ED97" t="s">
        <v>2680</v>
      </c>
      <c r="EE97" t="s">
        <v>4314</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4287</v>
      </c>
    </row>
    <row r="129" spans="134:135">
      <c r="ED129" t="s">
        <v>2712</v>
      </c>
      <c r="EE129" t="s">
        <v>4290</v>
      </c>
    </row>
    <row r="130" spans="134:135">
      <c r="ED130" t="s">
        <v>2713</v>
      </c>
      <c r="EE130" t="s">
        <v>4292</v>
      </c>
    </row>
    <row r="131" spans="134:135">
      <c r="ED131" t="s">
        <v>2714</v>
      </c>
      <c r="EE131" t="s">
        <v>4293</v>
      </c>
    </row>
    <row r="132" spans="134:135">
      <c r="ED132" t="s">
        <v>2715</v>
      </c>
      <c r="EE132" t="s">
        <v>4295</v>
      </c>
    </row>
    <row r="133" spans="134:135">
      <c r="ED133" t="s">
        <v>2716</v>
      </c>
      <c r="EE133" t="s">
        <v>4297</v>
      </c>
    </row>
    <row r="134" spans="134:135">
      <c r="ED134" t="s">
        <v>2717</v>
      </c>
      <c r="EE134" t="s">
        <v>4299</v>
      </c>
    </row>
    <row r="135" spans="134:135">
      <c r="ED135" t="s">
        <v>2718</v>
      </c>
      <c r="EE135" t="s">
        <v>4300</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4302</v>
      </c>
    </row>
    <row r="150" spans="134:135">
      <c r="ED150" t="s">
        <v>2732</v>
      </c>
      <c r="EE150" t="s">
        <v>4303</v>
      </c>
    </row>
    <row r="151" spans="134:135">
      <c r="ED151" t="s">
        <v>2733</v>
      </c>
      <c r="EE151" t="s">
        <v>4304</v>
      </c>
    </row>
    <row r="152" spans="134:135">
      <c r="ED152" t="s">
        <v>2734</v>
      </c>
      <c r="EE152" t="s">
        <v>4305</v>
      </c>
    </row>
    <row r="153" spans="134:135">
      <c r="ED153" t="s">
        <v>2735</v>
      </c>
      <c r="EE153" t="s">
        <v>4307</v>
      </c>
    </row>
    <row r="154" spans="134:135">
      <c r="ED154" t="s">
        <v>2736</v>
      </c>
      <c r="EE154" t="s">
        <v>4308</v>
      </c>
    </row>
    <row r="155" spans="134:135">
      <c r="ED155" t="s">
        <v>2737</v>
      </c>
      <c r="EE155" t="s">
        <v>4309</v>
      </c>
    </row>
    <row r="156" spans="134:135">
      <c r="ED156" t="s">
        <v>2738</v>
      </c>
      <c r="EE156" t="s">
        <v>4310</v>
      </c>
    </row>
    <row r="157" spans="134:135">
      <c r="ED157" t="s">
        <v>2739</v>
      </c>
      <c r="EE157" t="s">
        <v>4311</v>
      </c>
    </row>
    <row r="158" spans="134:135">
      <c r="ED158" t="s">
        <v>2740</v>
      </c>
      <c r="EE158" t="s">
        <v>4312</v>
      </c>
    </row>
    <row r="159" spans="134:135">
      <c r="ED159" t="s">
        <v>2741</v>
      </c>
      <c r="EE159" t="s">
        <v>4313</v>
      </c>
    </row>
    <row r="160" spans="134:135">
      <c r="ED160" t="s">
        <v>2742</v>
      </c>
      <c r="EE160" t="s">
        <v>4314</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4288</v>
      </c>
    </row>
    <row r="192" spans="134:135">
      <c r="ED192" t="s">
        <v>2774</v>
      </c>
      <c r="EE192" t="s">
        <v>4290</v>
      </c>
    </row>
    <row r="193" spans="134:135">
      <c r="ED193" t="s">
        <v>2775</v>
      </c>
      <c r="EE193" t="s">
        <v>4292</v>
      </c>
    </row>
    <row r="194" spans="134:135">
      <c r="ED194" t="s">
        <v>2776</v>
      </c>
      <c r="EE194" t="s">
        <v>4293</v>
      </c>
    </row>
    <row r="195" spans="134:135">
      <c r="ED195" t="s">
        <v>2777</v>
      </c>
      <c r="EE195" t="s">
        <v>4295</v>
      </c>
    </row>
    <row r="196" spans="134:135">
      <c r="ED196" t="s">
        <v>2778</v>
      </c>
      <c r="EE196" t="s">
        <v>4297</v>
      </c>
    </row>
    <row r="197" spans="134:135">
      <c r="ED197" t="s">
        <v>2779</v>
      </c>
      <c r="EE197" t="s">
        <v>4299</v>
      </c>
    </row>
    <row r="198" spans="134:135">
      <c r="ED198" t="s">
        <v>2780</v>
      </c>
      <c r="EE198" t="s">
        <v>4300</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4302</v>
      </c>
    </row>
    <row r="213" spans="124:135">
      <c r="ED213" t="s">
        <v>2795</v>
      </c>
      <c r="EE213" t="s">
        <v>4303</v>
      </c>
    </row>
    <row r="214" spans="124:135">
      <c r="ED214" t="s">
        <v>2796</v>
      </c>
      <c r="EE214" t="s">
        <v>4304</v>
      </c>
    </row>
    <row r="215" spans="124:135">
      <c r="ED215" t="s">
        <v>2797</v>
      </c>
      <c r="EE215" t="s">
        <v>4305</v>
      </c>
    </row>
    <row r="216" spans="124:135">
      <c r="ED216" t="s">
        <v>2798</v>
      </c>
      <c r="EE216" t="s">
        <v>4307</v>
      </c>
    </row>
    <row r="217" spans="124:135">
      <c r="ED217" t="s">
        <v>2799</v>
      </c>
      <c r="EE217" t="s">
        <v>4308</v>
      </c>
    </row>
    <row r="218" spans="124:135">
      <c r="ED218" t="s">
        <v>2800</v>
      </c>
      <c r="EE218" t="s">
        <v>4309</v>
      </c>
    </row>
    <row r="219" spans="124:135">
      <c r="ED219" t="s">
        <v>2801</v>
      </c>
      <c r="EE219" t="s">
        <v>4310</v>
      </c>
    </row>
    <row r="220" spans="124:135">
      <c r="ED220" t="s">
        <v>2802</v>
      </c>
      <c r="EE220" t="s">
        <v>4311</v>
      </c>
    </row>
    <row r="221" spans="124:135">
      <c r="ED221" t="s">
        <v>2803</v>
      </c>
      <c r="EE221" t="s">
        <v>4312</v>
      </c>
    </row>
    <row r="222" spans="124:135">
      <c r="DT222" s="338"/>
      <c r="ED222" t="s">
        <v>2804</v>
      </c>
      <c r="EE222" t="s">
        <v>4313</v>
      </c>
    </row>
    <row r="223" spans="124:135">
      <c r="DT223" s="338"/>
      <c r="ED223" t="s">
        <v>2805</v>
      </c>
      <c r="EE223" t="s">
        <v>4314</v>
      </c>
    </row>
    <row r="224" spans="124:135">
      <c r="DT224" s="338"/>
      <c r="ED224" t="s">
        <v>2806</v>
      </c>
      <c r="EE224" t="s">
        <v>2743</v>
      </c>
    </row>
    <row r="225" spans="124:135">
      <c r="DT225" s="338"/>
      <c r="ED225" t="s">
        <v>2807</v>
      </c>
      <c r="EE225" t="s">
        <v>2744</v>
      </c>
    </row>
    <row r="226" spans="124:135">
      <c r="DT226" s="366"/>
      <c r="ED226" t="s">
        <v>2808</v>
      </c>
      <c r="EE226" t="s">
        <v>2745</v>
      </c>
    </row>
    <row r="227" spans="124:135">
      <c r="DT227" s="366"/>
      <c r="ED227" t="s">
        <v>2809</v>
      </c>
      <c r="EE227" t="s">
        <v>2746</v>
      </c>
    </row>
    <row r="228" spans="124:135">
      <c r="DT228" s="366"/>
      <c r="ED228" t="s">
        <v>2810</v>
      </c>
      <c r="EE228" t="s">
        <v>2747</v>
      </c>
    </row>
    <row r="229" spans="124:135">
      <c r="DT229" s="366"/>
      <c r="ED229" t="s">
        <v>2811</v>
      </c>
      <c r="EE229" t="s">
        <v>2748</v>
      </c>
    </row>
    <row r="230" spans="124:135">
      <c r="DT230" s="365"/>
      <c r="ED230" t="s">
        <v>2812</v>
      </c>
      <c r="EE230" t="s">
        <v>2749</v>
      </c>
    </row>
    <row r="231" spans="124:135">
      <c r="DT231" s="365"/>
      <c r="ED231" t="s">
        <v>2813</v>
      </c>
      <c r="EE231" t="s">
        <v>2750</v>
      </c>
    </row>
    <row r="232" spans="124:135">
      <c r="DT232" s="365"/>
      <c r="ED232" t="s">
        <v>2814</v>
      </c>
      <c r="EE232" t="s">
        <v>2751</v>
      </c>
    </row>
    <row r="233" spans="124:135">
      <c r="DT233" s="365"/>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5"/>
      <c r="ED238" t="s">
        <v>2820</v>
      </c>
      <c r="EE238" t="s">
        <v>2757</v>
      </c>
    </row>
    <row r="239" spans="124:135">
      <c r="DT239" s="365"/>
      <c r="ED239" t="s">
        <v>2821</v>
      </c>
      <c r="EE239" t="s">
        <v>2758</v>
      </c>
    </row>
    <row r="240" spans="124:135">
      <c r="DT240" s="365"/>
      <c r="ED240" t="s">
        <v>2822</v>
      </c>
      <c r="EE240" t="s">
        <v>2759</v>
      </c>
    </row>
    <row r="241" spans="124:135">
      <c r="DT241" s="365"/>
      <c r="ED241" t="s">
        <v>2823</v>
      </c>
      <c r="EE241" t="s">
        <v>2760</v>
      </c>
    </row>
    <row r="242" spans="124:135">
      <c r="DT242" s="351"/>
      <c r="ED242" t="s">
        <v>2824</v>
      </c>
      <c r="EE242" t="s">
        <v>2761</v>
      </c>
    </row>
    <row r="243" spans="124:135">
      <c r="ED243" t="s">
        <v>2825</v>
      </c>
      <c r="EE243" t="s">
        <v>2762</v>
      </c>
    </row>
    <row r="244" spans="124:135">
      <c r="DT244" s="351"/>
      <c r="ED244" t="s">
        <v>2826</v>
      </c>
      <c r="EE244" t="s">
        <v>2763</v>
      </c>
    </row>
    <row r="245" spans="124:135">
      <c r="DT245" s="351"/>
      <c r="ED245" t="s">
        <v>2827</v>
      </c>
      <c r="EE245" t="s">
        <v>2764</v>
      </c>
    </row>
    <row r="246" spans="124:135">
      <c r="DT246" s="351"/>
      <c r="ED246" t="s">
        <v>2828</v>
      </c>
      <c r="EE246" t="s">
        <v>2765</v>
      </c>
    </row>
    <row r="247" spans="124:135">
      <c r="DT247" s="387"/>
      <c r="ED247" t="s">
        <v>2829</v>
      </c>
      <c r="EE247" t="s">
        <v>2766</v>
      </c>
    </row>
    <row r="248" spans="124:135">
      <c r="DT248" s="387"/>
      <c r="ED248" t="s">
        <v>2830</v>
      </c>
      <c r="EE248" t="s">
        <v>2767</v>
      </c>
    </row>
    <row r="249" spans="124:135">
      <c r="DT249" s="387"/>
      <c r="ED249" t="s">
        <v>2831</v>
      </c>
      <c r="EE249" t="s">
        <v>2768</v>
      </c>
    </row>
    <row r="250" spans="124:135">
      <c r="DT250" s="387"/>
      <c r="ED250" t="s">
        <v>2832</v>
      </c>
      <c r="EE250" t="s">
        <v>2769</v>
      </c>
    </row>
    <row r="251" spans="124:135">
      <c r="DT251" s="387"/>
      <c r="ED251" t="s">
        <v>2833</v>
      </c>
      <c r="EE251" t="s">
        <v>2770</v>
      </c>
    </row>
    <row r="252" spans="124:135">
      <c r="DT252" s="387"/>
      <c r="ED252" t="s">
        <v>2834</v>
      </c>
      <c r="EE252" t="s">
        <v>2771</v>
      </c>
    </row>
    <row r="253" spans="124:135">
      <c r="DT253" s="387"/>
      <c r="ED253" t="s">
        <v>2835</v>
      </c>
      <c r="EE253" t="s">
        <v>2772</v>
      </c>
    </row>
    <row r="254" spans="124:135">
      <c r="DT254" s="387"/>
      <c r="ED254" t="s">
        <v>2836</v>
      </c>
      <c r="EE254" t="s">
        <v>4287</v>
      </c>
    </row>
    <row r="255" spans="124:135">
      <c r="DT255" s="387"/>
      <c r="ED255" t="s">
        <v>2837</v>
      </c>
      <c r="EE255" t="s">
        <v>4290</v>
      </c>
    </row>
    <row r="256" spans="124:135">
      <c r="DT256" s="387"/>
      <c r="ED256" t="s">
        <v>2838</v>
      </c>
      <c r="EE256" t="s">
        <v>4292</v>
      </c>
    </row>
    <row r="257" spans="118:135">
      <c r="ED257" t="s">
        <v>2839</v>
      </c>
      <c r="EE257" t="s">
        <v>4293</v>
      </c>
    </row>
    <row r="258" spans="118:135">
      <c r="ED258" t="s">
        <v>2840</v>
      </c>
      <c r="EE258" t="s">
        <v>4295</v>
      </c>
    </row>
    <row r="259" spans="118:135">
      <c r="DN259" s="351"/>
      <c r="ED259" t="s">
        <v>2841</v>
      </c>
      <c r="EE259" t="s">
        <v>4297</v>
      </c>
    </row>
    <row r="260" spans="118:135">
      <c r="ED260" t="s">
        <v>2842</v>
      </c>
      <c r="EE260" t="s">
        <v>4299</v>
      </c>
    </row>
    <row r="261" spans="118:135">
      <c r="ED261" t="s">
        <v>2843</v>
      </c>
      <c r="EE261" t="s">
        <v>4300</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6"/>
      <c r="ED273" t="s">
        <v>2855</v>
      </c>
      <c r="EE273" t="s">
        <v>2729</v>
      </c>
    </row>
    <row r="274" spans="127:135">
      <c r="ED274" t="s">
        <v>2856</v>
      </c>
      <c r="EE274" t="s">
        <v>2730</v>
      </c>
    </row>
    <row r="275" spans="127:135">
      <c r="ED275" t="s">
        <v>2857</v>
      </c>
      <c r="EE275" t="s">
        <v>4302</v>
      </c>
    </row>
    <row r="276" spans="127:135">
      <c r="ED276" t="s">
        <v>2858</v>
      </c>
      <c r="EE276" t="s">
        <v>4303</v>
      </c>
    </row>
    <row r="277" spans="127:135">
      <c r="ED277" t="s">
        <v>2859</v>
      </c>
      <c r="EE277" t="s">
        <v>4304</v>
      </c>
    </row>
    <row r="278" spans="127:135">
      <c r="ED278" t="s">
        <v>2860</v>
      </c>
      <c r="EE278" t="s">
        <v>4305</v>
      </c>
    </row>
    <row r="279" spans="127:135">
      <c r="ED279" t="s">
        <v>2861</v>
      </c>
      <c r="EE279" t="s">
        <v>4307</v>
      </c>
    </row>
    <row r="280" spans="127:135">
      <c r="ED280" t="s">
        <v>2862</v>
      </c>
      <c r="EE280" t="s">
        <v>4308</v>
      </c>
    </row>
    <row r="281" spans="127:135">
      <c r="ED281" t="s">
        <v>2863</v>
      </c>
      <c r="EE281" t="s">
        <v>4309</v>
      </c>
    </row>
    <row r="282" spans="127:135">
      <c r="ED282" t="s">
        <v>2864</v>
      </c>
      <c r="EE282" t="s">
        <v>4310</v>
      </c>
    </row>
    <row r="283" spans="127:135">
      <c r="ED283" t="s">
        <v>2865</v>
      </c>
      <c r="EE283" t="s">
        <v>4311</v>
      </c>
    </row>
    <row r="284" spans="127:135">
      <c r="ED284" t="s">
        <v>2866</v>
      </c>
      <c r="EE284" t="s">
        <v>4312</v>
      </c>
    </row>
    <row r="285" spans="127:135">
      <c r="ED285" t="s">
        <v>2867</v>
      </c>
      <c r="EE285" t="s">
        <v>4313</v>
      </c>
    </row>
    <row r="286" spans="127:135">
      <c r="ED286" t="s">
        <v>2868</v>
      </c>
      <c r="EE286" t="s">
        <v>4314</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8"/>
      <c r="DU292" s="365"/>
      <c r="ED292" t="s">
        <v>2874</v>
      </c>
      <c r="EE292" t="s">
        <v>2748</v>
      </c>
    </row>
    <row r="293" spans="124:135">
      <c r="DT293" s="338"/>
      <c r="DU293" s="365"/>
      <c r="ED293" t="s">
        <v>2875</v>
      </c>
      <c r="EE293" t="s">
        <v>2749</v>
      </c>
    </row>
    <row r="294" spans="124:135">
      <c r="DT294" s="338"/>
      <c r="DU294" s="365"/>
      <c r="ED294" t="s">
        <v>2876</v>
      </c>
      <c r="EE294" t="s">
        <v>2750</v>
      </c>
    </row>
    <row r="295" spans="124:135">
      <c r="DT295" s="338"/>
      <c r="DU295" s="365"/>
      <c r="ED295" t="s">
        <v>2877</v>
      </c>
      <c r="EE295" t="s">
        <v>2751</v>
      </c>
    </row>
    <row r="296" spans="124:135">
      <c r="DT296" s="366"/>
      <c r="DU296" s="365"/>
      <c r="ED296" t="s">
        <v>2878</v>
      </c>
      <c r="EE296" t="s">
        <v>2752</v>
      </c>
    </row>
    <row r="297" spans="124:135">
      <c r="DT297" s="366"/>
      <c r="DU297" s="365"/>
      <c r="ED297" t="s">
        <v>2879</v>
      </c>
      <c r="EE297" t="s">
        <v>2753</v>
      </c>
    </row>
    <row r="298" spans="124:135">
      <c r="DT298" s="366"/>
      <c r="DU298" s="365"/>
      <c r="ED298" t="s">
        <v>2880</v>
      </c>
      <c r="EE298" t="s">
        <v>2754</v>
      </c>
    </row>
    <row r="299" spans="124:135">
      <c r="DT299" s="366"/>
      <c r="DU299" s="365"/>
      <c r="ED299" t="s">
        <v>2881</v>
      </c>
      <c r="EE299" t="s">
        <v>2755</v>
      </c>
    </row>
    <row r="300" spans="124:135">
      <c r="DT300" s="365"/>
      <c r="DU300" s="365"/>
      <c r="ED300" t="s">
        <v>2882</v>
      </c>
      <c r="EE300" t="s">
        <v>2756</v>
      </c>
    </row>
    <row r="301" spans="124:135">
      <c r="DT301" s="365"/>
      <c r="DU301" s="365"/>
      <c r="ED301" t="s">
        <v>2883</v>
      </c>
      <c r="EE301" t="s">
        <v>2757</v>
      </c>
    </row>
    <row r="302" spans="124:135">
      <c r="DT302" s="365"/>
      <c r="DU302" s="365"/>
      <c r="ED302" t="s">
        <v>2884</v>
      </c>
      <c r="EE302" t="s">
        <v>2758</v>
      </c>
    </row>
    <row r="303" spans="124:135">
      <c r="DT303" s="365"/>
      <c r="DU303" s="365"/>
      <c r="ED303" t="s">
        <v>2885</v>
      </c>
      <c r="EE303" t="s">
        <v>2759</v>
      </c>
    </row>
    <row r="304" spans="124:135">
      <c r="DT304" s="168"/>
      <c r="DU304" s="365"/>
      <c r="ED304" t="s">
        <v>2886</v>
      </c>
      <c r="EE304" t="s">
        <v>2760</v>
      </c>
    </row>
    <row r="305" spans="124:135">
      <c r="DT305" s="168"/>
      <c r="DU305" s="365"/>
      <c r="ED305" t="s">
        <v>2887</v>
      </c>
      <c r="EE305" t="s">
        <v>2761</v>
      </c>
    </row>
    <row r="306" spans="124:135">
      <c r="DT306" s="168"/>
      <c r="DU306" s="365"/>
      <c r="ED306" t="s">
        <v>2888</v>
      </c>
      <c r="EE306" t="s">
        <v>2762</v>
      </c>
    </row>
    <row r="307" spans="124:135">
      <c r="DT307" s="168"/>
      <c r="DU307" s="365"/>
      <c r="ED307" t="s">
        <v>2889</v>
      </c>
      <c r="EE307" t="s">
        <v>2763</v>
      </c>
    </row>
    <row r="308" spans="124:135">
      <c r="DT308" s="365"/>
      <c r="DU308" s="365"/>
      <c r="ED308" t="s">
        <v>2890</v>
      </c>
      <c r="EE308" t="s">
        <v>2764</v>
      </c>
    </row>
    <row r="309" spans="124:135">
      <c r="DT309" s="365"/>
      <c r="DU309" s="365"/>
      <c r="ED309" t="s">
        <v>2891</v>
      </c>
      <c r="EE309" t="s">
        <v>2765</v>
      </c>
    </row>
    <row r="310" spans="124:135">
      <c r="DT310" s="365"/>
      <c r="DU310" s="365"/>
      <c r="ED310" t="s">
        <v>2892</v>
      </c>
      <c r="EE310" t="s">
        <v>2766</v>
      </c>
    </row>
    <row r="311" spans="124:135">
      <c r="DT311" s="365"/>
      <c r="DU311" s="365"/>
      <c r="ED311" t="s">
        <v>2893</v>
      </c>
      <c r="EE311" t="s">
        <v>2767</v>
      </c>
    </row>
    <row r="312" spans="124:135">
      <c r="DT312" s="387"/>
      <c r="DU312" s="387"/>
      <c r="ED312" t="s">
        <v>2894</v>
      </c>
      <c r="EE312" t="s">
        <v>2768</v>
      </c>
    </row>
    <row r="313" spans="124:135">
      <c r="DT313" s="387"/>
      <c r="DU313" s="387"/>
      <c r="ED313" t="s">
        <v>2895</v>
      </c>
      <c r="EE313" t="s">
        <v>2769</v>
      </c>
    </row>
    <row r="314" spans="124:135">
      <c r="DT314" s="387"/>
      <c r="DU314" s="387"/>
      <c r="ED314" t="s">
        <v>2896</v>
      </c>
      <c r="EE314" t="s">
        <v>2770</v>
      </c>
    </row>
    <row r="315" spans="124:135">
      <c r="DT315" s="387"/>
      <c r="DU315" s="387"/>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6" t="s">
        <v>3590</v>
      </c>
      <c r="EE331" t="s">
        <v>3588</v>
      </c>
    </row>
    <row r="332" spans="134:135">
      <c r="ED332" t="s">
        <v>3591</v>
      </c>
      <c r="EE332" t="s">
        <v>3589</v>
      </c>
    </row>
    <row r="333" spans="134:135">
      <c r="ED333" t="s">
        <v>3689</v>
      </c>
      <c r="EE333" t="s">
        <v>4289</v>
      </c>
    </row>
    <row r="334" spans="134:135">
      <c r="ED334" t="s">
        <v>3691</v>
      </c>
      <c r="EE334" t="s">
        <v>4291</v>
      </c>
    </row>
    <row r="335" spans="134:135">
      <c r="ED335" t="s">
        <v>3693</v>
      </c>
      <c r="EE335" t="s">
        <v>4292</v>
      </c>
    </row>
    <row r="336" spans="134:135">
      <c r="ED336" t="s">
        <v>3695</v>
      </c>
      <c r="EE336" t="s">
        <v>4293</v>
      </c>
    </row>
    <row r="337" spans="134:135">
      <c r="ED337" t="s">
        <v>3697</v>
      </c>
      <c r="EE337" t="s">
        <v>4294</v>
      </c>
    </row>
    <row r="338" spans="134:135">
      <c r="ED338" t="s">
        <v>3699</v>
      </c>
      <c r="EE338" t="s">
        <v>4296</v>
      </c>
    </row>
    <row r="339" spans="134:135">
      <c r="ED339" t="s">
        <v>3701</v>
      </c>
      <c r="EE339" t="s">
        <v>4298</v>
      </c>
    </row>
    <row r="340" spans="134:135">
      <c r="ED340" t="s">
        <v>3703</v>
      </c>
      <c r="EE340" t="s">
        <v>4299</v>
      </c>
    </row>
    <row r="341" spans="134:135">
      <c r="ED341" t="s">
        <v>3705</v>
      </c>
      <c r="EE341" t="s">
        <v>4301</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8"/>
      <c r="ED353" t="s">
        <v>3728</v>
      </c>
      <c r="EE353" t="s">
        <v>3729</v>
      </c>
    </row>
    <row r="354" spans="127:135">
      <c r="DW354" s="338"/>
      <c r="ED354" t="s">
        <v>3730</v>
      </c>
      <c r="EE354" t="s">
        <v>3731</v>
      </c>
    </row>
    <row r="355" spans="127:135">
      <c r="DW355" s="338"/>
      <c r="ED355" t="s">
        <v>3732</v>
      </c>
      <c r="EE355" t="s">
        <v>4302</v>
      </c>
    </row>
    <row r="356" spans="127:135">
      <c r="DW356" s="338"/>
      <c r="ED356" t="s">
        <v>3734</v>
      </c>
      <c r="EE356" t="s">
        <v>4303</v>
      </c>
    </row>
    <row r="357" spans="127:135">
      <c r="DW357" s="338"/>
      <c r="ED357" t="s">
        <v>3736</v>
      </c>
      <c r="EE357" t="s">
        <v>4304</v>
      </c>
    </row>
    <row r="358" spans="127:135">
      <c r="DW358" s="338"/>
      <c r="ED358" t="s">
        <v>3738</v>
      </c>
      <c r="EE358" t="s">
        <v>4305</v>
      </c>
    </row>
    <row r="359" spans="127:135">
      <c r="DW359" s="168"/>
      <c r="ED359" t="s">
        <v>3740</v>
      </c>
      <c r="EE359" t="s">
        <v>4306</v>
      </c>
    </row>
    <row r="360" spans="127:135">
      <c r="DW360" s="338"/>
      <c r="ED360" t="s">
        <v>3742</v>
      </c>
      <c r="EE360" t="s">
        <v>4307</v>
      </c>
    </row>
    <row r="361" spans="127:135">
      <c r="DW361" s="338"/>
      <c r="ED361" t="s">
        <v>3744</v>
      </c>
      <c r="EE361" t="s">
        <v>4308</v>
      </c>
    </row>
    <row r="362" spans="127:135">
      <c r="DW362" s="338"/>
      <c r="ED362" t="s">
        <v>3746</v>
      </c>
      <c r="EE362" t="s">
        <v>4309</v>
      </c>
    </row>
    <row r="363" spans="127:135">
      <c r="DW363" s="338"/>
      <c r="ED363" t="s">
        <v>3748</v>
      </c>
      <c r="EE363" t="s">
        <v>4310</v>
      </c>
    </row>
    <row r="364" spans="127:135">
      <c r="ED364" t="s">
        <v>3750</v>
      </c>
      <c r="EE364" t="s">
        <v>4311</v>
      </c>
    </row>
    <row r="365" spans="127:135">
      <c r="ED365" t="s">
        <v>3752</v>
      </c>
      <c r="EE365" t="s">
        <v>4312</v>
      </c>
    </row>
    <row r="366" spans="127:135">
      <c r="ED366" t="s">
        <v>3754</v>
      </c>
      <c r="EE366" t="s">
        <v>4313</v>
      </c>
    </row>
    <row r="367" spans="127:135">
      <c r="ED367" t="s">
        <v>3756</v>
      </c>
      <c r="EE367" t="s">
        <v>4314</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4289</v>
      </c>
    </row>
    <row r="399" spans="134:135">
      <c r="ED399" t="s">
        <v>3819</v>
      </c>
      <c r="EE399" t="s">
        <v>4291</v>
      </c>
    </row>
    <row r="400" spans="134:135">
      <c r="ED400" t="s">
        <v>3820</v>
      </c>
      <c r="EE400" t="s">
        <v>4292</v>
      </c>
    </row>
    <row r="401" spans="128:135">
      <c r="ED401" t="s">
        <v>3821</v>
      </c>
      <c r="EE401" t="s">
        <v>4293</v>
      </c>
    </row>
    <row r="402" spans="128:135">
      <c r="ED402" t="s">
        <v>3822</v>
      </c>
      <c r="EE402" t="s">
        <v>4294</v>
      </c>
    </row>
    <row r="403" spans="128:135">
      <c r="ED403" t="s">
        <v>3823</v>
      </c>
      <c r="EE403" t="s">
        <v>4296</v>
      </c>
    </row>
    <row r="404" spans="128:135">
      <c r="ED404" t="s">
        <v>3824</v>
      </c>
      <c r="EE404" t="s">
        <v>4298</v>
      </c>
    </row>
    <row r="405" spans="128:135">
      <c r="ED405" t="s">
        <v>3825</v>
      </c>
      <c r="EE405" t="s">
        <v>4299</v>
      </c>
    </row>
    <row r="406" spans="128:135">
      <c r="ED406" t="s">
        <v>3826</v>
      </c>
      <c r="EE406" t="s">
        <v>4301</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6"/>
      <c r="ED414" t="s">
        <v>3834</v>
      </c>
      <c r="EE414" t="s">
        <v>3722</v>
      </c>
    </row>
    <row r="415" spans="128:135">
      <c r="DX415" s="286"/>
      <c r="ED415" t="s">
        <v>3835</v>
      </c>
      <c r="EE415" t="s">
        <v>3724</v>
      </c>
    </row>
    <row r="416" spans="128:135">
      <c r="DX416" s="286"/>
      <c r="ED416" t="s">
        <v>3836</v>
      </c>
      <c r="EE416" t="s">
        <v>3726</v>
      </c>
    </row>
    <row r="417" spans="127:135">
      <c r="DX417" s="286"/>
      <c r="ED417" t="s">
        <v>3837</v>
      </c>
      <c r="EE417" t="s">
        <v>3727</v>
      </c>
    </row>
    <row r="418" spans="127:135">
      <c r="DX418" s="286"/>
      <c r="ED418" t="s">
        <v>3688</v>
      </c>
      <c r="EE418" t="s">
        <v>3729</v>
      </c>
    </row>
    <row r="419" spans="127:135">
      <c r="DW419" s="337"/>
      <c r="ED419" t="s">
        <v>3838</v>
      </c>
      <c r="EE419" t="s">
        <v>3731</v>
      </c>
    </row>
    <row r="420" spans="127:135">
      <c r="DW420" s="337"/>
      <c r="ED420" t="s">
        <v>3839</v>
      </c>
      <c r="EE420" t="s">
        <v>4302</v>
      </c>
    </row>
    <row r="421" spans="127:135">
      <c r="DW421" s="351"/>
      <c r="ED421" t="s">
        <v>3840</v>
      </c>
      <c r="EE421" t="s">
        <v>4303</v>
      </c>
    </row>
    <row r="422" spans="127:135">
      <c r="DW422" s="351"/>
      <c r="ED422" t="s">
        <v>3841</v>
      </c>
      <c r="EE422" t="s">
        <v>4304</v>
      </c>
    </row>
    <row r="423" spans="127:135">
      <c r="DW423" s="334"/>
      <c r="ED423" t="s">
        <v>3842</v>
      </c>
      <c r="EE423" t="s">
        <v>4305</v>
      </c>
    </row>
    <row r="424" spans="127:135">
      <c r="DW424" s="286"/>
      <c r="ED424" t="s">
        <v>3843</v>
      </c>
      <c r="EE424" t="s">
        <v>4306</v>
      </c>
    </row>
    <row r="425" spans="127:135">
      <c r="DW425" s="286"/>
      <c r="ED425" t="s">
        <v>3844</v>
      </c>
      <c r="EE425" t="s">
        <v>4307</v>
      </c>
    </row>
    <row r="426" spans="127:135">
      <c r="DW426" s="286"/>
      <c r="ED426" t="s">
        <v>3845</v>
      </c>
      <c r="EE426" t="s">
        <v>4308</v>
      </c>
    </row>
    <row r="427" spans="127:135">
      <c r="DW427" s="334"/>
      <c r="ED427" t="s">
        <v>3846</v>
      </c>
      <c r="EE427" t="s">
        <v>4309</v>
      </c>
    </row>
    <row r="428" spans="127:135">
      <c r="DW428" s="286"/>
      <c r="ED428" t="s">
        <v>3847</v>
      </c>
      <c r="EE428" t="s">
        <v>4310</v>
      </c>
    </row>
    <row r="429" spans="127:135">
      <c r="DW429" s="351"/>
      <c r="ED429" t="s">
        <v>3848</v>
      </c>
      <c r="EE429" t="s">
        <v>4311</v>
      </c>
    </row>
    <row r="430" spans="127:135">
      <c r="DW430" s="351"/>
      <c r="ED430" t="s">
        <v>3849</v>
      </c>
      <c r="EE430" t="s">
        <v>4312</v>
      </c>
    </row>
    <row r="431" spans="127:135">
      <c r="DW431" s="334"/>
      <c r="ED431" t="s">
        <v>3850</v>
      </c>
      <c r="EE431" t="s">
        <v>4313</v>
      </c>
    </row>
    <row r="432" spans="127:135">
      <c r="DW432" s="351"/>
      <c r="ED432" t="s">
        <v>3851</v>
      </c>
      <c r="EE432" t="s">
        <v>4314</v>
      </c>
    </row>
    <row r="433" spans="127:135">
      <c r="DW433" s="286"/>
      <c r="ED433" t="s">
        <v>3852</v>
      </c>
      <c r="EE433" t="s">
        <v>3759</v>
      </c>
    </row>
    <row r="434" spans="127:135">
      <c r="DW434" s="334"/>
      <c r="DX434" s="286"/>
      <c r="ED434" t="s">
        <v>3853</v>
      </c>
      <c r="EE434" t="s">
        <v>3761</v>
      </c>
    </row>
    <row r="435" spans="127:135">
      <c r="DW435" s="334"/>
      <c r="DX435" s="286"/>
      <c r="ED435" t="s">
        <v>3854</v>
      </c>
      <c r="EE435" t="s">
        <v>3763</v>
      </c>
    </row>
    <row r="436" spans="127:135">
      <c r="DW436" s="334"/>
      <c r="DX436" s="286"/>
      <c r="ED436" t="s">
        <v>3855</v>
      </c>
      <c r="EE436" t="s">
        <v>3765</v>
      </c>
    </row>
    <row r="437" spans="127:135">
      <c r="DW437" s="286"/>
      <c r="DX437" s="286"/>
      <c r="ED437" t="s">
        <v>3856</v>
      </c>
      <c r="EE437" t="s">
        <v>3767</v>
      </c>
    </row>
    <row r="438" spans="127:135">
      <c r="DW438" s="362"/>
      <c r="DX438" s="362"/>
      <c r="ED438" t="s">
        <v>3857</v>
      </c>
      <c r="EE438" t="s">
        <v>3769</v>
      </c>
    </row>
    <row r="439" spans="127:135">
      <c r="DW439" s="330"/>
      <c r="DX439" s="362"/>
      <c r="ED439" t="s">
        <v>3858</v>
      </c>
      <c r="EE439" t="s">
        <v>3771</v>
      </c>
    </row>
    <row r="440" spans="127:135">
      <c r="DW440" s="338"/>
      <c r="DX440" s="338"/>
      <c r="ED440" t="s">
        <v>3859</v>
      </c>
      <c r="EE440" t="s">
        <v>3773</v>
      </c>
    </row>
    <row r="441" spans="127:135">
      <c r="DW441" s="338"/>
      <c r="DX441" s="338"/>
      <c r="ED441" t="s">
        <v>3860</v>
      </c>
      <c r="EE441" t="s">
        <v>3775</v>
      </c>
    </row>
    <row r="442" spans="127:135">
      <c r="DW442" s="338"/>
      <c r="DX442" s="338"/>
      <c r="ED442" t="s">
        <v>3861</v>
      </c>
      <c r="EE442" t="s">
        <v>3777</v>
      </c>
    </row>
    <row r="443" spans="127:135">
      <c r="DW443" s="338"/>
      <c r="DX443" s="338"/>
      <c r="ED443" t="s">
        <v>3862</v>
      </c>
      <c r="EE443" t="s">
        <v>3779</v>
      </c>
    </row>
    <row r="444" spans="127:135">
      <c r="DW444" s="338"/>
      <c r="DX444" s="338"/>
      <c r="ED444" t="s">
        <v>3863</v>
      </c>
      <c r="EE444" t="s">
        <v>3781</v>
      </c>
    </row>
    <row r="445" spans="127:135">
      <c r="DW445" s="338"/>
      <c r="DX445" s="338"/>
      <c r="ED445" t="s">
        <v>3864</v>
      </c>
      <c r="EE445" t="s">
        <v>3783</v>
      </c>
    </row>
    <row r="446" spans="127:135">
      <c r="DW446" s="338"/>
      <c r="DX446" s="338"/>
      <c r="ED446" t="s">
        <v>3865</v>
      </c>
      <c r="EE446" t="s">
        <v>3785</v>
      </c>
    </row>
    <row r="447" spans="127:135">
      <c r="DW447" s="338"/>
      <c r="DX447" s="338"/>
      <c r="ED447" t="s">
        <v>3866</v>
      </c>
      <c r="EE447" t="s">
        <v>3787</v>
      </c>
    </row>
    <row r="448" spans="127:135">
      <c r="DW448" s="338"/>
      <c r="DX448" s="338"/>
      <c r="ED448" t="s">
        <v>3867</v>
      </c>
      <c r="EE448" t="s">
        <v>3789</v>
      </c>
    </row>
    <row r="449" spans="127:135">
      <c r="DW449" s="338"/>
      <c r="DX449" s="338"/>
      <c r="ED449" t="s">
        <v>3868</v>
      </c>
      <c r="EE449" t="s">
        <v>3791</v>
      </c>
    </row>
    <row r="450" spans="127:135">
      <c r="DW450" s="338"/>
      <c r="DX450" s="338"/>
      <c r="ED450" t="s">
        <v>3869</v>
      </c>
      <c r="EE450" t="s">
        <v>3793</v>
      </c>
    </row>
    <row r="451" spans="127:135">
      <c r="DW451" s="338"/>
      <c r="DX451" s="338"/>
      <c r="ED451" t="s">
        <v>3870</v>
      </c>
      <c r="EE451" t="s">
        <v>3795</v>
      </c>
    </row>
    <row r="452" spans="127:135">
      <c r="DW452" s="338"/>
      <c r="DX452" s="338"/>
      <c r="ED452" t="s">
        <v>3871</v>
      </c>
      <c r="EE452" t="s">
        <v>3797</v>
      </c>
    </row>
    <row r="453" spans="127:135">
      <c r="DW453" s="338"/>
      <c r="DX453" s="338"/>
      <c r="ED453" t="s">
        <v>3872</v>
      </c>
      <c r="EE453" t="s">
        <v>3799</v>
      </c>
    </row>
    <row r="454" spans="127:135">
      <c r="DW454" s="338"/>
      <c r="DX454" s="338"/>
      <c r="ED454" t="s">
        <v>3873</v>
      </c>
      <c r="EE454" t="s">
        <v>3801</v>
      </c>
    </row>
    <row r="455" spans="127:135">
      <c r="DW455" s="338"/>
      <c r="DX455" s="338"/>
      <c r="ED455" t="s">
        <v>3874</v>
      </c>
      <c r="EE455" t="s">
        <v>3803</v>
      </c>
    </row>
    <row r="456" spans="127:135">
      <c r="ED456" t="s">
        <v>3875</v>
      </c>
      <c r="EE456" t="s">
        <v>3805</v>
      </c>
    </row>
    <row r="457" spans="127:135">
      <c r="ED457" t="s">
        <v>3876</v>
      </c>
      <c r="EE457" t="s">
        <v>3807</v>
      </c>
    </row>
    <row r="458" spans="127:135">
      <c r="ED458" t="s">
        <v>3877</v>
      </c>
      <c r="EE458" t="s">
        <v>3809</v>
      </c>
    </row>
    <row r="459" spans="127:135">
      <c r="ED459" t="s">
        <v>3878</v>
      </c>
      <c r="EE459" t="s">
        <v>3811</v>
      </c>
    </row>
    <row r="460" spans="127:135">
      <c r="ED460" t="s">
        <v>3879</v>
      </c>
      <c r="EE460" t="s">
        <v>3813</v>
      </c>
    </row>
    <row r="461" spans="127:135">
      <c r="ED461" t="s">
        <v>3880</v>
      </c>
      <c r="EE461" t="s">
        <v>3815</v>
      </c>
    </row>
    <row r="462" spans="127:135">
      <c r="ED462" t="s">
        <v>3881</v>
      </c>
      <c r="EE462" t="s">
        <v>3817</v>
      </c>
    </row>
    <row r="463" spans="127:135">
      <c r="ED463" t="s">
        <v>3690</v>
      </c>
      <c r="EE463" t="s">
        <v>4289</v>
      </c>
    </row>
    <row r="464" spans="127:135">
      <c r="ED464" t="s">
        <v>3692</v>
      </c>
      <c r="EE464" t="s">
        <v>4291</v>
      </c>
    </row>
    <row r="465" spans="134:135">
      <c r="ED465" t="s">
        <v>3694</v>
      </c>
      <c r="EE465" t="s">
        <v>4292</v>
      </c>
    </row>
    <row r="466" spans="134:135">
      <c r="ED466" t="s">
        <v>3696</v>
      </c>
      <c r="EE466" t="s">
        <v>4293</v>
      </c>
    </row>
    <row r="467" spans="134:135">
      <c r="ED467" t="s">
        <v>3698</v>
      </c>
      <c r="EE467" t="s">
        <v>4294</v>
      </c>
    </row>
    <row r="468" spans="134:135">
      <c r="ED468" t="s">
        <v>3700</v>
      </c>
      <c r="EE468" t="s">
        <v>4296</v>
      </c>
    </row>
    <row r="469" spans="134:135">
      <c r="ED469" t="s">
        <v>3702</v>
      </c>
      <c r="EE469" t="s">
        <v>4298</v>
      </c>
    </row>
    <row r="470" spans="134:135">
      <c r="ED470" t="s">
        <v>3704</v>
      </c>
      <c r="EE470" t="s">
        <v>4299</v>
      </c>
    </row>
    <row r="471" spans="134:135">
      <c r="ED471" t="s">
        <v>3706</v>
      </c>
      <c r="EE471" t="s">
        <v>4301</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4302</v>
      </c>
    </row>
    <row r="486" spans="134:135">
      <c r="ED486" t="s">
        <v>3735</v>
      </c>
      <c r="EE486" t="s">
        <v>4303</v>
      </c>
    </row>
    <row r="487" spans="134:135">
      <c r="ED487" t="s">
        <v>3737</v>
      </c>
      <c r="EE487" t="s">
        <v>4304</v>
      </c>
    </row>
    <row r="488" spans="134:135">
      <c r="ED488" t="s">
        <v>3739</v>
      </c>
      <c r="EE488" t="s">
        <v>4305</v>
      </c>
    </row>
    <row r="489" spans="134:135">
      <c r="ED489" t="s">
        <v>3741</v>
      </c>
      <c r="EE489" t="s">
        <v>4306</v>
      </c>
    </row>
    <row r="490" spans="134:135">
      <c r="ED490" t="s">
        <v>3743</v>
      </c>
      <c r="EE490" t="s">
        <v>4307</v>
      </c>
    </row>
    <row r="491" spans="134:135">
      <c r="ED491" t="s">
        <v>3745</v>
      </c>
      <c r="EE491" t="s">
        <v>4308</v>
      </c>
    </row>
    <row r="492" spans="134:135">
      <c r="ED492" t="s">
        <v>3747</v>
      </c>
      <c r="EE492" t="s">
        <v>4309</v>
      </c>
    </row>
    <row r="493" spans="134:135">
      <c r="ED493" t="s">
        <v>3749</v>
      </c>
      <c r="EE493" t="s">
        <v>4310</v>
      </c>
    </row>
    <row r="494" spans="134:135">
      <c r="ED494" t="s">
        <v>3751</v>
      </c>
      <c r="EE494" t="s">
        <v>4311</v>
      </c>
    </row>
    <row r="495" spans="134:135">
      <c r="ED495" t="s">
        <v>3753</v>
      </c>
      <c r="EE495" t="s">
        <v>4312</v>
      </c>
    </row>
    <row r="496" spans="134:135">
      <c r="ED496" t="s">
        <v>3755</v>
      </c>
      <c r="EE496" t="s">
        <v>4313</v>
      </c>
    </row>
    <row r="497" spans="124:135">
      <c r="DT497" s="351"/>
      <c r="ED497" t="s">
        <v>3757</v>
      </c>
      <c r="EE497" t="s">
        <v>4314</v>
      </c>
    </row>
    <row r="498" spans="124:135">
      <c r="DT498" s="351"/>
      <c r="ED498" t="s">
        <v>3759</v>
      </c>
      <c r="EE498" t="s">
        <v>3759</v>
      </c>
    </row>
    <row r="499" spans="124:135">
      <c r="DT499" s="351"/>
      <c r="ED499" t="s">
        <v>3761</v>
      </c>
      <c r="EE499" t="s">
        <v>3761</v>
      </c>
    </row>
    <row r="500" spans="124:135">
      <c r="DT500" s="351"/>
      <c r="ED500" t="s">
        <v>3763</v>
      </c>
      <c r="EE500" t="s">
        <v>3763</v>
      </c>
    </row>
    <row r="501" spans="124:135">
      <c r="DT501" s="351"/>
      <c r="ED501" t="s">
        <v>3765</v>
      </c>
      <c r="EE501" t="s">
        <v>3765</v>
      </c>
    </row>
    <row r="502" spans="124:135">
      <c r="DT502" s="351"/>
      <c r="ED502" t="s">
        <v>3767</v>
      </c>
      <c r="EE502" t="s">
        <v>3767</v>
      </c>
    </row>
    <row r="503" spans="124:135">
      <c r="DT503" s="351"/>
      <c r="ED503" t="s">
        <v>3769</v>
      </c>
      <c r="EE503" t="s">
        <v>3769</v>
      </c>
    </row>
    <row r="504" spans="124:135">
      <c r="DT504" s="351"/>
      <c r="ED504" t="s">
        <v>3771</v>
      </c>
      <c r="EE504" t="s">
        <v>3771</v>
      </c>
    </row>
    <row r="505" spans="124:135">
      <c r="DT505" s="286"/>
      <c r="ED505" t="s">
        <v>3773</v>
      </c>
      <c r="EE505" t="s">
        <v>3773</v>
      </c>
    </row>
    <row r="506" spans="124:135">
      <c r="DT506" s="352"/>
      <c r="ED506" t="s">
        <v>3775</v>
      </c>
      <c r="EE506" t="s">
        <v>3775</v>
      </c>
    </row>
    <row r="507" spans="124:135">
      <c r="DT507" s="352"/>
      <c r="ED507" t="s">
        <v>3777</v>
      </c>
      <c r="EE507" t="s">
        <v>3777</v>
      </c>
    </row>
    <row r="508" spans="124:135">
      <c r="DT508" s="352"/>
      <c r="ED508" t="s">
        <v>3779</v>
      </c>
      <c r="EE508" t="s">
        <v>3779</v>
      </c>
    </row>
    <row r="509" spans="124:135">
      <c r="DT509" s="352"/>
      <c r="ED509" t="s">
        <v>3781</v>
      </c>
      <c r="EE509" t="s">
        <v>3781</v>
      </c>
    </row>
    <row r="510" spans="124:135">
      <c r="DT510" s="352"/>
      <c r="ED510" t="s">
        <v>3783</v>
      </c>
      <c r="EE510" t="s">
        <v>3783</v>
      </c>
    </row>
    <row r="511" spans="124:135">
      <c r="DT511" s="352"/>
      <c r="ED511" t="s">
        <v>3785</v>
      </c>
      <c r="EE511" t="s">
        <v>3785</v>
      </c>
    </row>
    <row r="512" spans="124:135">
      <c r="DT512" s="352"/>
      <c r="ED512" t="s">
        <v>3787</v>
      </c>
      <c r="EE512" t="s">
        <v>3787</v>
      </c>
    </row>
    <row r="513" spans="124:135">
      <c r="DT513" s="352"/>
      <c r="ED513" t="s">
        <v>3789</v>
      </c>
      <c r="EE513" t="s">
        <v>3789</v>
      </c>
    </row>
    <row r="514" spans="124:135">
      <c r="DT514" s="352"/>
      <c r="ED514" t="s">
        <v>3791</v>
      </c>
      <c r="EE514" t="s">
        <v>3791</v>
      </c>
    </row>
    <row r="515" spans="124:135">
      <c r="DT515" s="352"/>
      <c r="ED515" t="s">
        <v>3793</v>
      </c>
      <c r="EE515" t="s">
        <v>3793</v>
      </c>
    </row>
    <row r="516" spans="124:135">
      <c r="DT516" s="352"/>
      <c r="ED516" t="s">
        <v>3795</v>
      </c>
      <c r="EE516" t="s">
        <v>3795</v>
      </c>
    </row>
    <row r="517" spans="124:135">
      <c r="DT517" s="352"/>
      <c r="ED517" t="s">
        <v>3797</v>
      </c>
      <c r="EE517" t="s">
        <v>3797</v>
      </c>
    </row>
    <row r="518" spans="124:135">
      <c r="DT518" s="352"/>
      <c r="ED518" t="s">
        <v>3799</v>
      </c>
      <c r="EE518" t="s">
        <v>3799</v>
      </c>
    </row>
    <row r="519" spans="124:135">
      <c r="DT519" s="351"/>
      <c r="DU519" s="351"/>
      <c r="ED519" t="s">
        <v>3801</v>
      </c>
      <c r="EE519" t="s">
        <v>3801</v>
      </c>
    </row>
    <row r="520" spans="124:135">
      <c r="DT520" s="351"/>
      <c r="DU520" s="351"/>
      <c r="ED520" t="s">
        <v>3803</v>
      </c>
      <c r="EE520" t="s">
        <v>3803</v>
      </c>
    </row>
    <row r="521" spans="124:135">
      <c r="DT521" s="351"/>
      <c r="DU521" s="351"/>
      <c r="ED521" t="s">
        <v>3805</v>
      </c>
      <c r="EE521" t="s">
        <v>3805</v>
      </c>
    </row>
    <row r="522" spans="124:135">
      <c r="DT522" s="352"/>
      <c r="DU522" s="352"/>
      <c r="ED522" t="s">
        <v>3807</v>
      </c>
      <c r="EE522" t="s">
        <v>3807</v>
      </c>
    </row>
    <row r="523" spans="124:135">
      <c r="DT523" s="352"/>
      <c r="DU523" s="352"/>
      <c r="ED523" t="s">
        <v>3809</v>
      </c>
      <c r="EE523" t="s">
        <v>3809</v>
      </c>
    </row>
    <row r="524" spans="124:135">
      <c r="DT524" s="352"/>
      <c r="DU524" s="352"/>
      <c r="ED524" t="s">
        <v>3811</v>
      </c>
      <c r="EE524" t="s">
        <v>3811</v>
      </c>
    </row>
    <row r="525" spans="124:135">
      <c r="DT525" s="352"/>
      <c r="DU525" s="352"/>
      <c r="ED525" t="s">
        <v>3813</v>
      </c>
      <c r="EE525" t="s">
        <v>3813</v>
      </c>
    </row>
    <row r="526" spans="124:135">
      <c r="DT526" s="352"/>
      <c r="DU526" s="352"/>
      <c r="ED526" t="s">
        <v>3815</v>
      </c>
      <c r="EE526" t="s">
        <v>3815</v>
      </c>
    </row>
    <row r="527" spans="124:135">
      <c r="DT527" s="352"/>
      <c r="DU527" s="352"/>
      <c r="ED527" t="s">
        <v>3817</v>
      </c>
      <c r="EE527" t="s">
        <v>3817</v>
      </c>
    </row>
    <row r="528" spans="124:135">
      <c r="DT528" s="352"/>
      <c r="DU528" s="352"/>
      <c r="ED528" t="s">
        <v>3882</v>
      </c>
      <c r="EE528" t="s">
        <v>4289</v>
      </c>
    </row>
    <row r="529" spans="124:135">
      <c r="DT529" s="352"/>
      <c r="DU529" s="352"/>
      <c r="ED529" t="s">
        <v>3883</v>
      </c>
      <c r="EE529" t="s">
        <v>4291</v>
      </c>
    </row>
    <row r="530" spans="124:135">
      <c r="DT530" s="352"/>
      <c r="DU530" s="352"/>
      <c r="ED530" t="s">
        <v>3884</v>
      </c>
      <c r="EE530" t="s">
        <v>4292</v>
      </c>
    </row>
    <row r="531" spans="124:135">
      <c r="DT531" s="353"/>
      <c r="DU531" s="353"/>
      <c r="ED531" t="s">
        <v>3885</v>
      </c>
      <c r="EE531" t="s">
        <v>4293</v>
      </c>
    </row>
    <row r="532" spans="124:135">
      <c r="DT532" s="351"/>
      <c r="DU532" s="351"/>
      <c r="ED532" t="s">
        <v>3886</v>
      </c>
      <c r="EE532" t="s">
        <v>4294</v>
      </c>
    </row>
    <row r="533" spans="124:135">
      <c r="DT533" s="351"/>
      <c r="DU533" s="351"/>
      <c r="ED533" t="s">
        <v>3887</v>
      </c>
      <c r="EE533" t="s">
        <v>4296</v>
      </c>
    </row>
    <row r="534" spans="124:135">
      <c r="DT534" s="351"/>
      <c r="ED534" t="s">
        <v>3888</v>
      </c>
      <c r="EE534" t="s">
        <v>4298</v>
      </c>
    </row>
    <row r="535" spans="124:135">
      <c r="DT535" s="351"/>
      <c r="ED535" t="s">
        <v>3889</v>
      </c>
      <c r="EE535" t="s">
        <v>4299</v>
      </c>
    </row>
    <row r="536" spans="124:135">
      <c r="DT536" s="286"/>
      <c r="ED536" t="s">
        <v>3890</v>
      </c>
      <c r="EE536" t="s">
        <v>4301</v>
      </c>
    </row>
    <row r="537" spans="124:135">
      <c r="DT537" s="351"/>
      <c r="DU537" s="351"/>
      <c r="ED537" t="s">
        <v>3891</v>
      </c>
      <c r="EE537" t="s">
        <v>3708</v>
      </c>
    </row>
    <row r="538" spans="124:135">
      <c r="DT538" s="351"/>
      <c r="DU538" s="351"/>
      <c r="ED538" t="s">
        <v>3892</v>
      </c>
      <c r="EE538" t="s">
        <v>3710</v>
      </c>
    </row>
    <row r="539" spans="124:135">
      <c r="DT539" s="351"/>
      <c r="DU539" s="351"/>
      <c r="ED539" t="s">
        <v>3893</v>
      </c>
      <c r="EE539" t="s">
        <v>3712</v>
      </c>
    </row>
    <row r="540" spans="124:135">
      <c r="DT540" s="351"/>
      <c r="DU540" s="351"/>
      <c r="ED540" t="s">
        <v>3894</v>
      </c>
      <c r="EE540" t="s">
        <v>3714</v>
      </c>
    </row>
    <row r="541" spans="124:135">
      <c r="DT541" s="351"/>
      <c r="DU541" s="351"/>
      <c r="ED541" t="s">
        <v>3895</v>
      </c>
      <c r="EE541" t="s">
        <v>3716</v>
      </c>
    </row>
    <row r="542" spans="124:135">
      <c r="DT542" s="352"/>
      <c r="DU542" s="352"/>
      <c r="ED542" t="s">
        <v>3896</v>
      </c>
      <c r="EE542" t="s">
        <v>3718</v>
      </c>
    </row>
    <row r="543" spans="124:135">
      <c r="DT543" s="286"/>
      <c r="DU543" s="286"/>
      <c r="ED543" t="s">
        <v>3897</v>
      </c>
      <c r="EE543" t="s">
        <v>3720</v>
      </c>
    </row>
    <row r="544" spans="124:135">
      <c r="DT544" s="351"/>
      <c r="DU544" s="351"/>
      <c r="ED544" t="s">
        <v>3898</v>
      </c>
      <c r="EE544" t="s">
        <v>3722</v>
      </c>
    </row>
    <row r="545" spans="124:135">
      <c r="DT545" s="351"/>
      <c r="DU545" s="351"/>
      <c r="ED545" t="s">
        <v>3899</v>
      </c>
      <c r="EE545" t="s">
        <v>3724</v>
      </c>
    </row>
    <row r="546" spans="124:135">
      <c r="DT546" s="352"/>
      <c r="DU546" s="352"/>
      <c r="ED546" t="s">
        <v>3900</v>
      </c>
      <c r="EE546" t="s">
        <v>3726</v>
      </c>
    </row>
    <row r="547" spans="124:135">
      <c r="DT547" s="352"/>
      <c r="DU547" s="352"/>
      <c r="ED547" t="s">
        <v>3901</v>
      </c>
      <c r="EE547" t="s">
        <v>3727</v>
      </c>
    </row>
    <row r="548" spans="124:135">
      <c r="DT548" s="286"/>
      <c r="DU548" s="286"/>
      <c r="ED548" t="s">
        <v>3902</v>
      </c>
      <c r="EE548" t="s">
        <v>3729</v>
      </c>
    </row>
    <row r="549" spans="124:135">
      <c r="DT549" s="286"/>
      <c r="DU549" s="286"/>
      <c r="ED549" t="s">
        <v>3903</v>
      </c>
      <c r="EE549" t="s">
        <v>3731</v>
      </c>
    </row>
    <row r="550" spans="124:135">
      <c r="DT550" s="351"/>
      <c r="DU550" s="351"/>
      <c r="ED550" t="s">
        <v>3904</v>
      </c>
      <c r="EE550" t="s">
        <v>4302</v>
      </c>
    </row>
    <row r="551" spans="124:135">
      <c r="DT551" s="351"/>
      <c r="DU551" s="351"/>
      <c r="ED551" t="s">
        <v>3905</v>
      </c>
      <c r="EE551" t="s">
        <v>4303</v>
      </c>
    </row>
    <row r="552" spans="124:135">
      <c r="DT552" s="352"/>
      <c r="DU552" s="351"/>
      <c r="ED552" t="s">
        <v>3906</v>
      </c>
      <c r="EE552" t="s">
        <v>4304</v>
      </c>
    </row>
    <row r="553" spans="124:135">
      <c r="DT553" s="352"/>
      <c r="DU553" s="351"/>
      <c r="ED553" t="s">
        <v>3907</v>
      </c>
      <c r="EE553" t="s">
        <v>4305</v>
      </c>
    </row>
    <row r="554" spans="124:135">
      <c r="DT554" s="286"/>
      <c r="DU554" s="351"/>
      <c r="ED554" t="s">
        <v>3908</v>
      </c>
      <c r="EE554" t="s">
        <v>4306</v>
      </c>
    </row>
    <row r="555" spans="124:135">
      <c r="DT555" s="286"/>
      <c r="DU555" s="351"/>
      <c r="ED555" t="s">
        <v>3909</v>
      </c>
      <c r="EE555" t="s">
        <v>4307</v>
      </c>
    </row>
    <row r="556" spans="124:135">
      <c r="DT556" s="353"/>
      <c r="ED556" t="s">
        <v>3910</v>
      </c>
      <c r="EE556" t="s">
        <v>4308</v>
      </c>
    </row>
    <row r="557" spans="124:135">
      <c r="DT557" s="353"/>
      <c r="ED557" t="s">
        <v>3911</v>
      </c>
      <c r="EE557" t="s">
        <v>4309</v>
      </c>
    </row>
    <row r="558" spans="124:135">
      <c r="DT558" s="353"/>
      <c r="ED558" t="s">
        <v>3912</v>
      </c>
      <c r="EE558" t="s">
        <v>4310</v>
      </c>
    </row>
    <row r="559" spans="124:135">
      <c r="DT559" s="351"/>
      <c r="ED559" t="s">
        <v>3913</v>
      </c>
      <c r="EE559" t="s">
        <v>4311</v>
      </c>
    </row>
    <row r="560" spans="124:135">
      <c r="DT560" s="286"/>
      <c r="ED560" t="s">
        <v>3914</v>
      </c>
      <c r="EE560" t="s">
        <v>4312</v>
      </c>
    </row>
    <row r="561" spans="124:135">
      <c r="DT561" s="351"/>
      <c r="ED561" t="s">
        <v>3915</v>
      </c>
      <c r="EE561" t="s">
        <v>4313</v>
      </c>
    </row>
    <row r="562" spans="124:135">
      <c r="DT562" s="286"/>
      <c r="ED562" t="s">
        <v>3916</v>
      </c>
      <c r="EE562" t="s">
        <v>4314</v>
      </c>
    </row>
    <row r="563" spans="124:135">
      <c r="DT563" s="352"/>
      <c r="DU563" s="351"/>
      <c r="ED563" t="s">
        <v>3917</v>
      </c>
      <c r="EE563" t="s">
        <v>3759</v>
      </c>
    </row>
    <row r="564" spans="124:135">
      <c r="DT564" s="352"/>
      <c r="DU564" s="351"/>
      <c r="ED564" t="s">
        <v>3918</v>
      </c>
      <c r="EE564" t="s">
        <v>3761</v>
      </c>
    </row>
    <row r="565" spans="124:135">
      <c r="DT565" s="286"/>
      <c r="DU565" s="351"/>
      <c r="ED565" t="s">
        <v>3919</v>
      </c>
      <c r="EE565" t="s">
        <v>3763</v>
      </c>
    </row>
    <row r="566" spans="124:135">
      <c r="DT566" s="286"/>
      <c r="DU566" s="351"/>
      <c r="ED566" t="s">
        <v>3920</v>
      </c>
      <c r="EE566" t="s">
        <v>3765</v>
      </c>
    </row>
    <row r="567" spans="124:135">
      <c r="DT567" s="352"/>
      <c r="DU567" s="351"/>
      <c r="ED567" t="s">
        <v>3921</v>
      </c>
      <c r="EE567" t="s">
        <v>3767</v>
      </c>
    </row>
    <row r="568" spans="124:135">
      <c r="DT568" s="352"/>
      <c r="DU568" s="351"/>
      <c r="ED568" t="s">
        <v>3922</v>
      </c>
      <c r="EE568" t="s">
        <v>3769</v>
      </c>
    </row>
    <row r="569" spans="124:135">
      <c r="DT569" s="286"/>
      <c r="DU569" s="351"/>
      <c r="ED569" t="s">
        <v>3923</v>
      </c>
      <c r="EE569" t="s">
        <v>3771</v>
      </c>
    </row>
    <row r="570" spans="124:135">
      <c r="DT570" s="286"/>
      <c r="DU570" s="351"/>
      <c r="ED570" t="s">
        <v>3924</v>
      </c>
      <c r="EE570" t="s">
        <v>3773</v>
      </c>
    </row>
    <row r="571" spans="124:135">
      <c r="DT571" s="352"/>
      <c r="ED571" t="s">
        <v>3925</v>
      </c>
      <c r="EE571" t="s">
        <v>3775</v>
      </c>
    </row>
    <row r="572" spans="124:135">
      <c r="DT572" s="351"/>
      <c r="ED572" t="s">
        <v>3926</v>
      </c>
      <c r="EE572" t="s">
        <v>3777</v>
      </c>
    </row>
    <row r="573" spans="124:135">
      <c r="DT573" s="351"/>
      <c r="ED573" t="s">
        <v>3927</v>
      </c>
      <c r="EE573" t="s">
        <v>3779</v>
      </c>
    </row>
    <row r="574" spans="124:135">
      <c r="DT574" s="351"/>
      <c r="ED574" t="s">
        <v>3928</v>
      </c>
      <c r="EE574" t="s">
        <v>3781</v>
      </c>
    </row>
    <row r="575" spans="124:135">
      <c r="DT575" s="286"/>
      <c r="ED575" t="s">
        <v>3929</v>
      </c>
      <c r="EE575" t="s">
        <v>3783</v>
      </c>
    </row>
    <row r="576" spans="124:135">
      <c r="DT576" s="352"/>
      <c r="ED576" t="s">
        <v>3930</v>
      </c>
      <c r="EE576" t="s">
        <v>3785</v>
      </c>
    </row>
    <row r="577" spans="124:135">
      <c r="DT577" s="351"/>
      <c r="ED577" t="s">
        <v>3931</v>
      </c>
      <c r="EE577" t="s">
        <v>3787</v>
      </c>
    </row>
    <row r="578" spans="124:135">
      <c r="DT578" s="351"/>
      <c r="ED578" t="s">
        <v>3932</v>
      </c>
      <c r="EE578" t="s">
        <v>3789</v>
      </c>
    </row>
    <row r="579" spans="124:135">
      <c r="DT579" s="351"/>
      <c r="ED579" t="s">
        <v>3933</v>
      </c>
      <c r="EE579" t="s">
        <v>3791</v>
      </c>
    </row>
    <row r="580" spans="124:135">
      <c r="DT580" s="286"/>
      <c r="ED580" t="s">
        <v>3934</v>
      </c>
      <c r="EE580" t="s">
        <v>3793</v>
      </c>
    </row>
    <row r="581" spans="124:135">
      <c r="DT581" s="352"/>
      <c r="ED581" t="s">
        <v>3935</v>
      </c>
      <c r="EE581" t="s">
        <v>3795</v>
      </c>
    </row>
    <row r="582" spans="124:135">
      <c r="DT582" s="351"/>
      <c r="ED582" t="s">
        <v>3936</v>
      </c>
      <c r="EE582" t="s">
        <v>3797</v>
      </c>
    </row>
    <row r="583" spans="124:135">
      <c r="DT583" s="351"/>
      <c r="ED583" t="s">
        <v>3937</v>
      </c>
      <c r="EE583" t="s">
        <v>3799</v>
      </c>
    </row>
    <row r="584" spans="124:135">
      <c r="DT584" s="351"/>
      <c r="ED584" t="s">
        <v>3938</v>
      </c>
      <c r="EE584" t="s">
        <v>3801</v>
      </c>
    </row>
    <row r="585" spans="124:135">
      <c r="DT585" s="286"/>
      <c r="ED585" t="s">
        <v>3939</v>
      </c>
      <c r="EE585" t="s">
        <v>3803</v>
      </c>
    </row>
    <row r="586" spans="124:135">
      <c r="DT586" s="352"/>
      <c r="ED586" t="s">
        <v>3940</v>
      </c>
      <c r="EE586" t="s">
        <v>3805</v>
      </c>
    </row>
    <row r="587" spans="124:135">
      <c r="DT587" s="351"/>
      <c r="ED587" t="s">
        <v>3941</v>
      </c>
      <c r="EE587" t="s">
        <v>3807</v>
      </c>
    </row>
    <row r="588" spans="124:135">
      <c r="DT588" s="351"/>
      <c r="ED588" t="s">
        <v>3942</v>
      </c>
      <c r="EE588" t="s">
        <v>3809</v>
      </c>
    </row>
    <row r="589" spans="124:135">
      <c r="DT589" s="351"/>
      <c r="ED589" t="s">
        <v>3943</v>
      </c>
      <c r="EE589" t="s">
        <v>3811</v>
      </c>
    </row>
    <row r="590" spans="124:135">
      <c r="DT590" s="286"/>
      <c r="ED590" t="s">
        <v>3944</v>
      </c>
      <c r="EE590" t="s">
        <v>3813</v>
      </c>
    </row>
    <row r="591" spans="124:135">
      <c r="DT591" s="352"/>
      <c r="ED591" t="s">
        <v>3945</v>
      </c>
      <c r="EE591" t="s">
        <v>3815</v>
      </c>
    </row>
    <row r="592" spans="124:135">
      <c r="DT592" s="352"/>
      <c r="ED592" t="s">
        <v>3946</v>
      </c>
      <c r="EE592" t="s">
        <v>3817</v>
      </c>
    </row>
    <row r="593" spans="124:135">
      <c r="DT593" s="352"/>
      <c r="ED593" t="s">
        <v>3947</v>
      </c>
      <c r="EE593" t="s">
        <v>4289</v>
      </c>
    </row>
    <row r="594" spans="124:135">
      <c r="DT594" s="352"/>
      <c r="ED594" t="s">
        <v>3948</v>
      </c>
      <c r="EE594" t="s">
        <v>4291</v>
      </c>
    </row>
    <row r="595" spans="124:135">
      <c r="DT595" s="351"/>
      <c r="ED595" t="s">
        <v>3949</v>
      </c>
      <c r="EE595" t="s">
        <v>4292</v>
      </c>
    </row>
    <row r="596" spans="124:135">
      <c r="DT596" s="351"/>
      <c r="ED596" t="s">
        <v>3950</v>
      </c>
      <c r="EE596" t="s">
        <v>4293</v>
      </c>
    </row>
    <row r="597" spans="124:135">
      <c r="DT597" s="352"/>
      <c r="ED597" t="s">
        <v>3951</v>
      </c>
      <c r="EE597" t="s">
        <v>4294</v>
      </c>
    </row>
    <row r="598" spans="124:135">
      <c r="DT598" s="352"/>
      <c r="ED598" t="s">
        <v>3952</v>
      </c>
      <c r="EE598" t="s">
        <v>4296</v>
      </c>
    </row>
    <row r="599" spans="124:135">
      <c r="DT599" s="286"/>
      <c r="ED599" t="s">
        <v>3953</v>
      </c>
      <c r="EE599" t="s">
        <v>4298</v>
      </c>
    </row>
    <row r="600" spans="124:135">
      <c r="DT600" s="286"/>
      <c r="ED600" t="s">
        <v>3954</v>
      </c>
      <c r="EE600" t="s">
        <v>4299</v>
      </c>
    </row>
    <row r="601" spans="124:135">
      <c r="DT601" s="352"/>
      <c r="ED601" t="s">
        <v>3955</v>
      </c>
      <c r="EE601" t="s">
        <v>4301</v>
      </c>
    </row>
    <row r="602" spans="124:135">
      <c r="DT602" s="352"/>
      <c r="ED602" t="s">
        <v>3956</v>
      </c>
      <c r="EE602" t="s">
        <v>3708</v>
      </c>
    </row>
    <row r="603" spans="124:135">
      <c r="DT603" s="352"/>
      <c r="ED603" t="s">
        <v>3957</v>
      </c>
      <c r="EE603" t="s">
        <v>3710</v>
      </c>
    </row>
    <row r="604" spans="124:135">
      <c r="DT604" s="352"/>
      <c r="ED604" t="s">
        <v>3958</v>
      </c>
      <c r="EE604" t="s">
        <v>3712</v>
      </c>
    </row>
    <row r="605" spans="124:135">
      <c r="DT605" s="351"/>
      <c r="ED605" t="s">
        <v>3959</v>
      </c>
      <c r="EE605" t="s">
        <v>3714</v>
      </c>
    </row>
    <row r="606" spans="124:135">
      <c r="DT606" s="351"/>
      <c r="ED606" t="s">
        <v>3960</v>
      </c>
      <c r="EE606" t="s">
        <v>3716</v>
      </c>
    </row>
    <row r="607" spans="124:135">
      <c r="DT607" s="352"/>
      <c r="ED607" t="s">
        <v>3961</v>
      </c>
      <c r="EE607" t="s">
        <v>3718</v>
      </c>
    </row>
    <row r="608" spans="124:135">
      <c r="DT608" s="352"/>
      <c r="ED608" t="s">
        <v>3962</v>
      </c>
      <c r="EE608" t="s">
        <v>3720</v>
      </c>
    </row>
    <row r="609" spans="124:135">
      <c r="DT609" s="286"/>
      <c r="ED609" t="s">
        <v>3963</v>
      </c>
      <c r="EE609" t="s">
        <v>3722</v>
      </c>
    </row>
    <row r="610" spans="124:135">
      <c r="DT610" s="286"/>
      <c r="ED610" t="s">
        <v>3964</v>
      </c>
      <c r="EE610" t="s">
        <v>3724</v>
      </c>
    </row>
    <row r="611" spans="124:135">
      <c r="DT611" s="351"/>
      <c r="ED611" t="s">
        <v>3965</v>
      </c>
      <c r="EE611" t="s">
        <v>3726</v>
      </c>
    </row>
    <row r="612" spans="124:135">
      <c r="DT612" s="351"/>
      <c r="ED612" t="s">
        <v>3966</v>
      </c>
      <c r="EE612" t="s">
        <v>3727</v>
      </c>
    </row>
    <row r="613" spans="124:135">
      <c r="DT613" s="351"/>
      <c r="ED613" t="s">
        <v>3967</v>
      </c>
      <c r="EE613" t="s">
        <v>3729</v>
      </c>
    </row>
    <row r="614" spans="124:135">
      <c r="DT614" s="351"/>
      <c r="ED614" t="s">
        <v>3968</v>
      </c>
      <c r="EE614" t="s">
        <v>3731</v>
      </c>
    </row>
    <row r="615" spans="124:135">
      <c r="DT615" s="286"/>
      <c r="ED615" t="s">
        <v>3969</v>
      </c>
      <c r="EE615" t="s">
        <v>4302</v>
      </c>
    </row>
    <row r="616" spans="124:135">
      <c r="DT616" s="351"/>
      <c r="ED616" t="s">
        <v>3970</v>
      </c>
      <c r="EE616" t="s">
        <v>4303</v>
      </c>
    </row>
    <row r="617" spans="124:135">
      <c r="DT617" s="351"/>
      <c r="ED617" t="s">
        <v>3971</v>
      </c>
      <c r="EE617" t="s">
        <v>4304</v>
      </c>
    </row>
    <row r="618" spans="124:135">
      <c r="DT618" s="351"/>
      <c r="ED618" t="s">
        <v>3972</v>
      </c>
      <c r="EE618" t="s">
        <v>4305</v>
      </c>
    </row>
    <row r="619" spans="124:135">
      <c r="DT619" s="351"/>
      <c r="ED619" t="s">
        <v>3973</v>
      </c>
      <c r="EE619" t="s">
        <v>4306</v>
      </c>
    </row>
    <row r="620" spans="124:135">
      <c r="DT620" s="286"/>
      <c r="ED620" t="s">
        <v>3974</v>
      </c>
      <c r="EE620" t="s">
        <v>4307</v>
      </c>
    </row>
    <row r="621" spans="124:135">
      <c r="ED621" t="s">
        <v>3975</v>
      </c>
      <c r="EE621" t="s">
        <v>4308</v>
      </c>
    </row>
    <row r="622" spans="124:135">
      <c r="ED622" t="s">
        <v>3976</v>
      </c>
      <c r="EE622" t="s">
        <v>4309</v>
      </c>
    </row>
    <row r="623" spans="124:135">
      <c r="ED623" t="s">
        <v>3977</v>
      </c>
      <c r="EE623" t="s">
        <v>4310</v>
      </c>
    </row>
    <row r="624" spans="124:135">
      <c r="ED624" t="s">
        <v>3978</v>
      </c>
      <c r="EE624" t="s">
        <v>4311</v>
      </c>
    </row>
    <row r="625" spans="134:135">
      <c r="ED625" t="s">
        <v>3979</v>
      </c>
      <c r="EE625" t="s">
        <v>4312</v>
      </c>
    </row>
    <row r="626" spans="134:135">
      <c r="ED626" t="s">
        <v>3980</v>
      </c>
      <c r="EE626" t="s">
        <v>4313</v>
      </c>
    </row>
    <row r="627" spans="134:135">
      <c r="ED627" t="s">
        <v>3981</v>
      </c>
      <c r="EE627" t="s">
        <v>4314</v>
      </c>
    </row>
    <row r="628" spans="134:135">
      <c r="ED628" t="s">
        <v>3982</v>
      </c>
      <c r="EE628" t="s">
        <v>3759</v>
      </c>
    </row>
    <row r="629" spans="134:135">
      <c r="ED629" t="s">
        <v>3983</v>
      </c>
      <c r="EE629" t="s">
        <v>3761</v>
      </c>
    </row>
    <row r="630" spans="134:135">
      <c r="ED630" t="s">
        <v>3984</v>
      </c>
      <c r="EE630" t="s">
        <v>3763</v>
      </c>
    </row>
    <row r="631" spans="134:135">
      <c r="ED631" t="s">
        <v>3985</v>
      </c>
      <c r="EE631" t="s">
        <v>3765</v>
      </c>
    </row>
    <row r="632" spans="134:135">
      <c r="ED632" t="s">
        <v>3986</v>
      </c>
      <c r="EE632" t="s">
        <v>3767</v>
      </c>
    </row>
    <row r="633" spans="134:135">
      <c r="ED633" t="s">
        <v>3987</v>
      </c>
      <c r="EE633" t="s">
        <v>3769</v>
      </c>
    </row>
    <row r="634" spans="134:135">
      <c r="ED634" t="s">
        <v>3988</v>
      </c>
      <c r="EE634" t="s">
        <v>3771</v>
      </c>
    </row>
    <row r="635" spans="134:135">
      <c r="ED635" t="s">
        <v>3989</v>
      </c>
      <c r="EE635" t="s">
        <v>3773</v>
      </c>
    </row>
    <row r="636" spans="134:135">
      <c r="ED636" t="s">
        <v>3990</v>
      </c>
      <c r="EE636" t="s">
        <v>3775</v>
      </c>
    </row>
    <row r="637" spans="134:135">
      <c r="ED637" t="s">
        <v>3991</v>
      </c>
      <c r="EE637" t="s">
        <v>3777</v>
      </c>
    </row>
    <row r="638" spans="134:135">
      <c r="ED638" t="s">
        <v>3992</v>
      </c>
      <c r="EE638" t="s">
        <v>3779</v>
      </c>
    </row>
    <row r="639" spans="134:135">
      <c r="ED639" t="s">
        <v>3993</v>
      </c>
      <c r="EE639" t="s">
        <v>3781</v>
      </c>
    </row>
    <row r="640" spans="134:135">
      <c r="ED640" t="s">
        <v>3994</v>
      </c>
      <c r="EE640" t="s">
        <v>3783</v>
      </c>
    </row>
    <row r="641" spans="128:135">
      <c r="ED641" t="s">
        <v>3995</v>
      </c>
      <c r="EE641" t="s">
        <v>3785</v>
      </c>
    </row>
    <row r="642" spans="128:135">
      <c r="DX642" s="365"/>
      <c r="ED642" t="s">
        <v>3996</v>
      </c>
      <c r="EE642" t="s">
        <v>3787</v>
      </c>
    </row>
    <row r="643" spans="128:135">
      <c r="DX643" s="338"/>
      <c r="ED643" t="s">
        <v>3997</v>
      </c>
      <c r="EE643" t="s">
        <v>3789</v>
      </c>
    </row>
    <row r="644" spans="128:135">
      <c r="DX644" s="374"/>
      <c r="ED644" t="s">
        <v>3998</v>
      </c>
      <c r="EE644" t="s">
        <v>3791</v>
      </c>
    </row>
    <row r="645" spans="128:135">
      <c r="DX645" s="338"/>
      <c r="ED645" t="s">
        <v>3999</v>
      </c>
      <c r="EE645" t="s">
        <v>3793</v>
      </c>
    </row>
    <row r="646" spans="128:135">
      <c r="ED646" t="s">
        <v>4000</v>
      </c>
      <c r="EE646" t="s">
        <v>3795</v>
      </c>
    </row>
    <row r="647" spans="128:135">
      <c r="ED647" t="s">
        <v>4001</v>
      </c>
      <c r="EE647" t="s">
        <v>3797</v>
      </c>
    </row>
    <row r="648" spans="128:135">
      <c r="ED648" t="s">
        <v>4002</v>
      </c>
      <c r="EE648" t="s">
        <v>3799</v>
      </c>
    </row>
    <row r="649" spans="128:135">
      <c r="ED649" t="s">
        <v>4003</v>
      </c>
      <c r="EE649" t="s">
        <v>3801</v>
      </c>
    </row>
    <row r="650" spans="128:135">
      <c r="ED650" t="s">
        <v>4004</v>
      </c>
      <c r="EE650" t="s">
        <v>3803</v>
      </c>
    </row>
    <row r="651" spans="128:135">
      <c r="ED651" t="s">
        <v>4005</v>
      </c>
      <c r="EE651" t="s">
        <v>3805</v>
      </c>
    </row>
    <row r="652" spans="128:135">
      <c r="ED652" t="s">
        <v>4006</v>
      </c>
      <c r="EE652" t="s">
        <v>3807</v>
      </c>
    </row>
    <row r="653" spans="128:135">
      <c r="ED653" t="s">
        <v>4007</v>
      </c>
      <c r="EE653" t="s">
        <v>3809</v>
      </c>
    </row>
    <row r="654" spans="128:135">
      <c r="ED654" t="s">
        <v>4008</v>
      </c>
      <c r="EE654" t="s">
        <v>3811</v>
      </c>
    </row>
    <row r="655" spans="128:135">
      <c r="ED655" t="s">
        <v>4009</v>
      </c>
      <c r="EE655" t="s">
        <v>3813</v>
      </c>
    </row>
    <row r="656" spans="128:135">
      <c r="ED656" t="s">
        <v>4010</v>
      </c>
      <c r="EE656" t="s">
        <v>3815</v>
      </c>
    </row>
    <row r="657" spans="124:135">
      <c r="ED657" t="s">
        <v>4011</v>
      </c>
      <c r="EE657" t="s">
        <v>3817</v>
      </c>
    </row>
    <row r="658" spans="124:135">
      <c r="DT658" s="338"/>
      <c r="DU658" s="365"/>
      <c r="ED658" t="s">
        <v>5195</v>
      </c>
      <c r="EE658" t="s">
        <v>4289</v>
      </c>
    </row>
    <row r="659" spans="124:135">
      <c r="DT659" s="338"/>
      <c r="DU659" s="365"/>
      <c r="ED659" t="s">
        <v>5196</v>
      </c>
      <c r="EE659" t="s">
        <v>4291</v>
      </c>
    </row>
    <row r="660" spans="124:135">
      <c r="DT660" s="338"/>
      <c r="DU660" s="365"/>
      <c r="ED660" t="s">
        <v>5197</v>
      </c>
      <c r="EE660" t="s">
        <v>4292</v>
      </c>
    </row>
    <row r="661" spans="124:135">
      <c r="DT661" s="338"/>
      <c r="DU661" s="365"/>
      <c r="ED661" t="s">
        <v>5198</v>
      </c>
      <c r="EE661" t="s">
        <v>4293</v>
      </c>
    </row>
    <row r="662" spans="124:135">
      <c r="DT662" s="366"/>
      <c r="DU662" s="365"/>
      <c r="ED662" t="s">
        <v>5199</v>
      </c>
      <c r="EE662" t="s">
        <v>4294</v>
      </c>
    </row>
    <row r="663" spans="124:135">
      <c r="DT663" s="366"/>
      <c r="DU663" s="365"/>
      <c r="ED663" t="s">
        <v>5200</v>
      </c>
      <c r="EE663" t="s">
        <v>4296</v>
      </c>
    </row>
    <row r="664" spans="124:135">
      <c r="DT664" s="366"/>
      <c r="DU664" s="365"/>
      <c r="ED664" t="s">
        <v>5201</v>
      </c>
      <c r="EE664" t="s">
        <v>4298</v>
      </c>
    </row>
    <row r="665" spans="124:135">
      <c r="DT665" s="366"/>
      <c r="DU665" s="365"/>
      <c r="ED665" t="s">
        <v>5202</v>
      </c>
      <c r="EE665" t="s">
        <v>4299</v>
      </c>
    </row>
    <row r="666" spans="124:135">
      <c r="DT666" s="168"/>
      <c r="DU666" s="365"/>
      <c r="ED666" t="s">
        <v>5203</v>
      </c>
      <c r="EE666" t="s">
        <v>4301</v>
      </c>
    </row>
    <row r="667" spans="124:135">
      <c r="DT667" s="168"/>
      <c r="DU667" s="365"/>
      <c r="ED667" t="s">
        <v>5204</v>
      </c>
      <c r="EE667" t="s">
        <v>3708</v>
      </c>
    </row>
    <row r="668" spans="124:135">
      <c r="DT668" s="168"/>
      <c r="DU668" s="365"/>
      <c r="ED668" t="s">
        <v>5205</v>
      </c>
      <c r="EE668" t="s">
        <v>3710</v>
      </c>
    </row>
    <row r="669" spans="124:135">
      <c r="DT669" s="168"/>
      <c r="DU669" s="365"/>
      <c r="ED669" t="s">
        <v>5206</v>
      </c>
      <c r="EE669" t="s">
        <v>3712</v>
      </c>
    </row>
    <row r="670" spans="124:135">
      <c r="DT670" s="365"/>
      <c r="DU670" s="365"/>
      <c r="ED670" t="s">
        <v>5207</v>
      </c>
      <c r="EE670" t="s">
        <v>3714</v>
      </c>
    </row>
    <row r="671" spans="124:135">
      <c r="DT671" s="365"/>
      <c r="DU671" s="365"/>
      <c r="ED671" t="s">
        <v>5208</v>
      </c>
      <c r="EE671" t="s">
        <v>3716</v>
      </c>
    </row>
    <row r="672" spans="124:135">
      <c r="DT672" s="365"/>
      <c r="DU672" s="365"/>
      <c r="ED672" t="s">
        <v>5209</v>
      </c>
      <c r="EE672" t="s">
        <v>3718</v>
      </c>
    </row>
    <row r="673" spans="124:135">
      <c r="DT673" s="365"/>
      <c r="DU673" s="365"/>
      <c r="ED673" t="s">
        <v>5210</v>
      </c>
      <c r="EE673" t="s">
        <v>3720</v>
      </c>
    </row>
    <row r="674" spans="124:135">
      <c r="ED674" t="s">
        <v>5211</v>
      </c>
      <c r="EE674" t="s">
        <v>3722</v>
      </c>
    </row>
    <row r="675" spans="124:135">
      <c r="ED675" t="s">
        <v>5212</v>
      </c>
      <c r="EE675" t="s">
        <v>3724</v>
      </c>
    </row>
    <row r="676" spans="124:135">
      <c r="ED676" t="s">
        <v>5213</v>
      </c>
      <c r="EE676" t="s">
        <v>3726</v>
      </c>
    </row>
    <row r="677" spans="124:135">
      <c r="ED677" t="s">
        <v>5193</v>
      </c>
      <c r="EE677" t="s">
        <v>3727</v>
      </c>
    </row>
    <row r="678" spans="124:135">
      <c r="ED678" t="s">
        <v>5214</v>
      </c>
      <c r="EE678" t="s">
        <v>3729</v>
      </c>
    </row>
    <row r="679" spans="124:135">
      <c r="ED679" t="s">
        <v>5215</v>
      </c>
      <c r="EE679" t="s">
        <v>3731</v>
      </c>
    </row>
    <row r="680" spans="124:135">
      <c r="ED680" t="s">
        <v>5216</v>
      </c>
      <c r="EE680" t="s">
        <v>4302</v>
      </c>
    </row>
    <row r="681" spans="124:135">
      <c r="ED681" t="s">
        <v>5217</v>
      </c>
      <c r="EE681" t="s">
        <v>4303</v>
      </c>
    </row>
    <row r="682" spans="124:135">
      <c r="ED682" t="s">
        <v>5218</v>
      </c>
      <c r="EE682" t="s">
        <v>4304</v>
      </c>
    </row>
    <row r="683" spans="124:135">
      <c r="ED683" t="s">
        <v>5219</v>
      </c>
      <c r="EE683" t="s">
        <v>4305</v>
      </c>
    </row>
    <row r="684" spans="124:135">
      <c r="ED684" t="s">
        <v>5220</v>
      </c>
      <c r="EE684" t="s">
        <v>4306</v>
      </c>
    </row>
    <row r="685" spans="124:135">
      <c r="ED685" t="s">
        <v>5221</v>
      </c>
      <c r="EE685" t="s">
        <v>4307</v>
      </c>
    </row>
    <row r="686" spans="124:135">
      <c r="ED686" t="s">
        <v>5222</v>
      </c>
      <c r="EE686" t="s">
        <v>4308</v>
      </c>
    </row>
    <row r="687" spans="124:135">
      <c r="ED687" t="s">
        <v>5223</v>
      </c>
      <c r="EE687" t="s">
        <v>4309</v>
      </c>
    </row>
    <row r="688" spans="124:135">
      <c r="ED688" t="s">
        <v>5224</v>
      </c>
      <c r="EE688" t="s">
        <v>4310</v>
      </c>
    </row>
    <row r="689" spans="134:135">
      <c r="ED689" t="s">
        <v>5225</v>
      </c>
      <c r="EE689" t="s">
        <v>4311</v>
      </c>
    </row>
    <row r="690" spans="134:135">
      <c r="ED690" t="s">
        <v>5226</v>
      </c>
      <c r="EE690" t="s">
        <v>4312</v>
      </c>
    </row>
    <row r="691" spans="134:135">
      <c r="ED691" t="s">
        <v>5227</v>
      </c>
      <c r="EE691" t="s">
        <v>4313</v>
      </c>
    </row>
    <row r="692" spans="134:135">
      <c r="ED692" t="s">
        <v>5228</v>
      </c>
      <c r="EE692" t="s">
        <v>4314</v>
      </c>
    </row>
    <row r="693" spans="134:135">
      <c r="ED693" t="s">
        <v>5229</v>
      </c>
      <c r="EE693" t="s">
        <v>3759</v>
      </c>
    </row>
    <row r="694" spans="134:135">
      <c r="ED694" t="s">
        <v>5230</v>
      </c>
      <c r="EE694" t="s">
        <v>3761</v>
      </c>
    </row>
    <row r="695" spans="134:135">
      <c r="ED695" t="s">
        <v>5231</v>
      </c>
      <c r="EE695" t="s">
        <v>3763</v>
      </c>
    </row>
    <row r="696" spans="134:135">
      <c r="ED696" t="s">
        <v>5232</v>
      </c>
      <c r="EE696" t="s">
        <v>3765</v>
      </c>
    </row>
    <row r="697" spans="134:135">
      <c r="ED697" t="s">
        <v>5233</v>
      </c>
      <c r="EE697" t="s">
        <v>3767</v>
      </c>
    </row>
    <row r="698" spans="134:135">
      <c r="ED698" t="s">
        <v>5234</v>
      </c>
      <c r="EE698" t="s">
        <v>3769</v>
      </c>
    </row>
    <row r="699" spans="134:135">
      <c r="ED699" t="s">
        <v>5235</v>
      </c>
      <c r="EE699" t="s">
        <v>3771</v>
      </c>
    </row>
    <row r="700" spans="134:135">
      <c r="ED700" t="s">
        <v>5236</v>
      </c>
      <c r="EE700" t="s">
        <v>3773</v>
      </c>
    </row>
    <row r="701" spans="134:135">
      <c r="ED701" t="s">
        <v>5237</v>
      </c>
      <c r="EE701" t="s">
        <v>3775</v>
      </c>
    </row>
    <row r="702" spans="134:135">
      <c r="ED702" t="s">
        <v>5238</v>
      </c>
      <c r="EE702" t="s">
        <v>3777</v>
      </c>
    </row>
    <row r="703" spans="134:135">
      <c r="ED703" t="s">
        <v>5239</v>
      </c>
      <c r="EE703" t="s">
        <v>3779</v>
      </c>
    </row>
    <row r="704" spans="134:135">
      <c r="ED704" t="s">
        <v>5240</v>
      </c>
      <c r="EE704" t="s">
        <v>3781</v>
      </c>
    </row>
    <row r="705" spans="134:135">
      <c r="ED705" t="s">
        <v>5241</v>
      </c>
      <c r="EE705" t="s">
        <v>3783</v>
      </c>
    </row>
    <row r="706" spans="134:135">
      <c r="ED706" t="s">
        <v>5242</v>
      </c>
      <c r="EE706" t="s">
        <v>3785</v>
      </c>
    </row>
    <row r="707" spans="134:135">
      <c r="ED707" t="s">
        <v>5243</v>
      </c>
      <c r="EE707" t="s">
        <v>3787</v>
      </c>
    </row>
    <row r="708" spans="134:135">
      <c r="ED708" t="s">
        <v>5244</v>
      </c>
      <c r="EE708" t="s">
        <v>3789</v>
      </c>
    </row>
    <row r="709" spans="134:135">
      <c r="ED709" t="s">
        <v>5245</v>
      </c>
      <c r="EE709" t="s">
        <v>3791</v>
      </c>
    </row>
    <row r="710" spans="134:135">
      <c r="ED710" t="s">
        <v>5246</v>
      </c>
      <c r="EE710" t="s">
        <v>3793</v>
      </c>
    </row>
    <row r="711" spans="134:135">
      <c r="ED711" t="s">
        <v>5247</v>
      </c>
      <c r="EE711" t="s">
        <v>3795</v>
      </c>
    </row>
    <row r="712" spans="134:135">
      <c r="ED712" t="s">
        <v>5248</v>
      </c>
      <c r="EE712" t="s">
        <v>3797</v>
      </c>
    </row>
    <row r="713" spans="134:135">
      <c r="ED713" t="s">
        <v>5249</v>
      </c>
      <c r="EE713" t="s">
        <v>3799</v>
      </c>
    </row>
    <row r="714" spans="134:135">
      <c r="ED714" t="s">
        <v>5250</v>
      </c>
      <c r="EE714" t="s">
        <v>3801</v>
      </c>
    </row>
    <row r="715" spans="134:135">
      <c r="ED715" t="s">
        <v>5251</v>
      </c>
      <c r="EE715" t="s">
        <v>3803</v>
      </c>
    </row>
    <row r="716" spans="134:135">
      <c r="ED716" t="s">
        <v>5252</v>
      </c>
      <c r="EE716" t="s">
        <v>3805</v>
      </c>
    </row>
    <row r="717" spans="134:135">
      <c r="ED717" t="s">
        <v>5253</v>
      </c>
      <c r="EE717" t="s">
        <v>3807</v>
      </c>
    </row>
    <row r="718" spans="134:135">
      <c r="ED718" t="s">
        <v>5254</v>
      </c>
      <c r="EE718" t="s">
        <v>3809</v>
      </c>
    </row>
    <row r="719" spans="134:135">
      <c r="ED719" t="s">
        <v>5255</v>
      </c>
      <c r="EE719" t="s">
        <v>3811</v>
      </c>
    </row>
    <row r="720" spans="134:135">
      <c r="ED720" t="s">
        <v>5256</v>
      </c>
      <c r="EE720" t="s">
        <v>3813</v>
      </c>
    </row>
    <row r="721" spans="134:135">
      <c r="ED721" t="s">
        <v>5257</v>
      </c>
      <c r="EE721" t="s">
        <v>3815</v>
      </c>
    </row>
    <row r="722" spans="134:135">
      <c r="ED722" t="s">
        <v>5258</v>
      </c>
      <c r="EE722" t="s">
        <v>3817</v>
      </c>
    </row>
    <row r="723" spans="134:135">
      <c r="ED723" t="s">
        <v>5286</v>
      </c>
      <c r="EE723" t="s">
        <v>5297</v>
      </c>
    </row>
    <row r="724" spans="134:135">
      <c r="ED724" t="s">
        <v>5287</v>
      </c>
      <c r="EE724" t="s">
        <v>5298</v>
      </c>
    </row>
    <row r="725" spans="134:135">
      <c r="ED725" t="s">
        <v>3538</v>
      </c>
      <c r="EE725" t="s">
        <v>5297</v>
      </c>
    </row>
    <row r="726" spans="134:135">
      <c r="ED726" t="s">
        <v>3539</v>
      </c>
      <c r="EE726" t="s">
        <v>5298</v>
      </c>
    </row>
    <row r="727" spans="134:135">
      <c r="ED727" t="s">
        <v>3549</v>
      </c>
      <c r="EE727" t="s">
        <v>5297</v>
      </c>
    </row>
    <row r="728" spans="134:135">
      <c r="ED728" t="s">
        <v>3550</v>
      </c>
      <c r="EE728" t="s">
        <v>5298</v>
      </c>
    </row>
    <row r="729" spans="134:135">
      <c r="ED729" t="s">
        <v>3548</v>
      </c>
      <c r="EE729" t="s">
        <v>5297</v>
      </c>
    </row>
    <row r="730" spans="134:135">
      <c r="ED730" t="s">
        <v>3553</v>
      </c>
      <c r="EE730" t="s">
        <v>5298</v>
      </c>
    </row>
    <row r="731" spans="134:135">
      <c r="ED731" t="s">
        <v>3551</v>
      </c>
      <c r="EE731" t="s">
        <v>5297</v>
      </c>
    </row>
    <row r="732" spans="134:135">
      <c r="ED732" t="s">
        <v>3554</v>
      </c>
      <c r="EE732" t="s">
        <v>5298</v>
      </c>
    </row>
    <row r="733" spans="134:135">
      <c r="ED733" t="s">
        <v>3552</v>
      </c>
      <c r="EE733" t="s">
        <v>5297</v>
      </c>
    </row>
    <row r="734" spans="134:135">
      <c r="ED734" t="s">
        <v>3555</v>
      </c>
      <c r="EE734" t="s">
        <v>5298</v>
      </c>
    </row>
    <row r="735" spans="134:135">
      <c r="ED735" t="s">
        <v>5318</v>
      </c>
      <c r="EE735" t="s">
        <v>5300</v>
      </c>
    </row>
    <row r="736" spans="134:135">
      <c r="ED736" t="s">
        <v>5318</v>
      </c>
      <c r="EE736" t="s">
        <v>5300</v>
      </c>
    </row>
    <row r="737" spans="134:135">
      <c r="ED737" t="s">
        <v>5319</v>
      </c>
      <c r="EE737" t="s">
        <v>5301</v>
      </c>
    </row>
    <row r="738" spans="134:135">
      <c r="ED738" t="s">
        <v>5319</v>
      </c>
      <c r="EE738" t="s">
        <v>5301</v>
      </c>
    </row>
    <row r="739" spans="134:135">
      <c r="ED739" t="s">
        <v>3585</v>
      </c>
      <c r="EE739" t="s">
        <v>5301</v>
      </c>
    </row>
    <row r="740" spans="134:135">
      <c r="ED740" t="s">
        <v>3585</v>
      </c>
      <c r="EE740" t="s">
        <v>5301</v>
      </c>
    </row>
    <row r="741" spans="134:135">
      <c r="ED741" t="s">
        <v>5320</v>
      </c>
      <c r="EE741" t="s">
        <v>5300</v>
      </c>
    </row>
    <row r="742" spans="134:135">
      <c r="ED742" t="s">
        <v>5320</v>
      </c>
      <c r="EE742" t="s">
        <v>5300</v>
      </c>
    </row>
    <row r="743" spans="134:135">
      <c r="ED743" t="s">
        <v>5273</v>
      </c>
      <c r="EE743" t="s">
        <v>5300</v>
      </c>
    </row>
    <row r="744" spans="134:135">
      <c r="ED744" t="s">
        <v>5273</v>
      </c>
      <c r="EE744" t="s">
        <v>5300</v>
      </c>
    </row>
    <row r="745" spans="134:135">
      <c r="ED745" t="s">
        <v>5272</v>
      </c>
      <c r="EE745" t="s">
        <v>5301</v>
      </c>
    </row>
    <row r="746" spans="134:135">
      <c r="ED746" t="s">
        <v>5272</v>
      </c>
      <c r="EE746" t="s">
        <v>5301</v>
      </c>
    </row>
    <row r="747" spans="134:135">
      <c r="ED747" t="s">
        <v>3591</v>
      </c>
      <c r="EE747" t="s">
        <v>5300</v>
      </c>
    </row>
    <row r="748" spans="134:135">
      <c r="ED748" t="s">
        <v>3591</v>
      </c>
      <c r="EE748" t="s">
        <v>5300</v>
      </c>
    </row>
    <row r="749" spans="134:135">
      <c r="ED749" t="s">
        <v>5288</v>
      </c>
      <c r="EE749" t="s">
        <v>5301</v>
      </c>
    </row>
    <row r="750" spans="134:135">
      <c r="ED750" t="s">
        <v>5288</v>
      </c>
      <c r="EE750" t="s">
        <v>5301</v>
      </c>
    </row>
    <row r="751" spans="134:135">
      <c r="ED751" t="s">
        <v>3570</v>
      </c>
      <c r="EE751" t="s">
        <v>5301</v>
      </c>
    </row>
    <row r="752" spans="134:135">
      <c r="ED752" t="s">
        <v>3570</v>
      </c>
      <c r="EE752" t="s">
        <v>5301</v>
      </c>
    </row>
    <row r="753" spans="134:135">
      <c r="ED753" t="s">
        <v>3584</v>
      </c>
      <c r="EE753" t="s">
        <v>5300</v>
      </c>
    </row>
    <row r="754" spans="134:135">
      <c r="ED754" t="s">
        <v>3584</v>
      </c>
      <c r="EE754" t="s">
        <v>5300</v>
      </c>
    </row>
    <row r="755" spans="134:135">
      <c r="ED755" t="s">
        <v>5302</v>
      </c>
      <c r="EE755" t="s">
        <v>5301</v>
      </c>
    </row>
    <row r="756" spans="134:135">
      <c r="ED756" t="s">
        <v>5303</v>
      </c>
      <c r="EE756" t="s">
        <v>5300</v>
      </c>
    </row>
    <row r="757" spans="134:135">
      <c r="ED757" t="s">
        <v>3549</v>
      </c>
      <c r="EE757" t="s">
        <v>5297</v>
      </c>
    </row>
    <row r="758" spans="134:135">
      <c r="ED758" t="s">
        <v>3550</v>
      </c>
      <c r="EE758" t="s">
        <v>5298</v>
      </c>
    </row>
  </sheetData>
  <phoneticPr fontId="3" type="noConversion"/>
  <conditionalFormatting sqref="A32:A33 A46:A51 A55:A58 A3:A15 A17:A29 A36:A38 A40:A44 A72:A99 DW346:DW347">
    <cfRule type="expression" dxfId="716" priority="565" stopIfTrue="1">
      <formula>AND(COUNTIF($A$36:$A$38, A3)+COUNTIF($A$3:$A$15, A3)+COUNTIF($A$17:$A$29, A3)+COUNTIF($A$32:$A$34, A3)+COUNTIF($A$40:$A$44, A3)+COUNTIF($A$46:$A$51, A3)+COUNTIF($A$53:$A$99, A3)&gt;1,NOT(ISBLANK(A3)))</formula>
    </cfRule>
  </conditionalFormatting>
  <conditionalFormatting sqref="A33 A51 A55:A58">
    <cfRule type="expression" dxfId="715" priority="492" stopIfTrue="1">
      <formula>AND(COUNTIF($A$51:$A$51, A33)+COUNTIF(#REF!, A33)+COUNTIF($A$33:$A$33, A33)&gt;1,NOT(ISBLANK(A33)))</formula>
    </cfRule>
  </conditionalFormatting>
  <conditionalFormatting sqref="F14:F19">
    <cfRule type="duplicateValues" dxfId="714" priority="30"/>
  </conditionalFormatting>
  <conditionalFormatting sqref="P2:P61 P63:P65536">
    <cfRule type="expression" dxfId="713" priority="462" stopIfTrue="1">
      <formula>AND(COUNTIF($P$63:$P$65536, P2)+COUNTIF($P$2:$P$61, P2)&gt;1,NOT(ISBLANK(P2)))</formula>
    </cfRule>
  </conditionalFormatting>
  <conditionalFormatting sqref="Q2 Q4 Q6:Q12 Q15:Q20 Q22:Q23 Q26:Q54 S27:S30 Q68:Q65536">
    <cfRule type="expression" dxfId="712" priority="555" stopIfTrue="1">
      <formula>AND(COUNTIF($Q$68:$Q$65536, Q2)+COUNTIF($Q$2:$Q$2, Q2)+COUNTIF($Q$4:$Q$4, Q2)+COUNTIF($Q$6:$Q$54, Q2)&gt;1,NOT(ISBLANK(Q2)))</formula>
    </cfRule>
  </conditionalFormatting>
  <conditionalFormatting sqref="R4:R6">
    <cfRule type="duplicateValues" dxfId="711" priority="52"/>
  </conditionalFormatting>
  <conditionalFormatting sqref="R7 R9">
    <cfRule type="duplicateValues" dxfId="710" priority="536"/>
  </conditionalFormatting>
  <conditionalFormatting sqref="R10">
    <cfRule type="duplicateValues" dxfId="709" priority="50"/>
  </conditionalFormatting>
  <conditionalFormatting sqref="R11:R18 R29:R33">
    <cfRule type="duplicateValues" dxfId="708" priority="553"/>
  </conditionalFormatting>
  <conditionalFormatting sqref="R19:R20 R37:R39 R34">
    <cfRule type="duplicateValues" dxfId="707" priority="505"/>
  </conditionalFormatting>
  <conditionalFormatting sqref="R21:R23">
    <cfRule type="duplicateValues" dxfId="706" priority="47"/>
  </conditionalFormatting>
  <conditionalFormatting sqref="R49:R55">
    <cfRule type="duplicateValues" dxfId="705" priority="63"/>
  </conditionalFormatting>
  <conditionalFormatting sqref="R49:R61 R2 R63:R65536">
    <cfRule type="expression" dxfId="704" priority="461" stopIfTrue="1">
      <formula>AND(COUNTIF($R$2:$R$2, R2)+COUNTIF($R$63:$R$65536, R2)+COUNTIF($R$49:$R$61, R2)&gt;1,NOT(ISBLANK(R2)))</formula>
    </cfRule>
  </conditionalFormatting>
  <conditionalFormatting sqref="R56:R57">
    <cfRule type="duplicateValues" dxfId="703" priority="64"/>
  </conditionalFormatting>
  <conditionalFormatting sqref="R58:R61 R63">
    <cfRule type="expression" dxfId="702" priority="463" stopIfTrue="1">
      <formula>AND(COUNTIF($R$63:$R$63, R58)+COUNTIF($R$58:$R$61, R58)&gt;1,NOT(ISBLANK(R58)))</formula>
    </cfRule>
  </conditionalFormatting>
  <conditionalFormatting sqref="S4">
    <cfRule type="duplicateValues" dxfId="701" priority="46"/>
  </conditionalFormatting>
  <conditionalFormatting sqref="S6:S8 S10">
    <cfRule type="duplicateValues" dxfId="700" priority="562"/>
  </conditionalFormatting>
  <conditionalFormatting sqref="S12:S17">
    <cfRule type="duplicateValues" dxfId="699" priority="45"/>
  </conditionalFormatting>
  <conditionalFormatting sqref="S18:S19">
    <cfRule type="duplicateValues" dxfId="698" priority="44"/>
  </conditionalFormatting>
  <conditionalFormatting sqref="S20:S26">
    <cfRule type="duplicateValues" dxfId="697" priority="539"/>
  </conditionalFormatting>
  <conditionalFormatting sqref="S31:S52">
    <cfRule type="duplicateValues" dxfId="696" priority="561"/>
  </conditionalFormatting>
  <conditionalFormatting sqref="T4">
    <cfRule type="duplicateValues" dxfId="695" priority="42"/>
  </conditionalFormatting>
  <conditionalFormatting sqref="U4:U6">
    <cfRule type="duplicateValues" dxfId="694" priority="39"/>
  </conditionalFormatting>
  <conditionalFormatting sqref="U7:U14 U26:U30">
    <cfRule type="duplicateValues" dxfId="693" priority="556"/>
  </conditionalFormatting>
  <conditionalFormatting sqref="U15:U16 U31:U32">
    <cfRule type="duplicateValues" dxfId="692" priority="511"/>
  </conditionalFormatting>
  <conditionalFormatting sqref="U17:U19">
    <cfRule type="duplicateValues" dxfId="691" priority="36"/>
  </conditionalFormatting>
  <conditionalFormatting sqref="V4:V6">
    <cfRule type="duplicateValues" dxfId="690" priority="35"/>
  </conditionalFormatting>
  <conditionalFormatting sqref="V17:V19">
    <cfRule type="duplicateValues" dxfId="689" priority="32"/>
  </conditionalFormatting>
  <conditionalFormatting sqref="V21:V30 V7:V14">
    <cfRule type="duplicateValues" dxfId="688" priority="560"/>
  </conditionalFormatting>
  <conditionalFormatting sqref="V31:V32 V15:V16">
    <cfRule type="duplicateValues" dxfId="687" priority="517"/>
  </conditionalFormatting>
  <conditionalFormatting sqref="AC4:AC13 AC15:AC22 AC29:AC34 AC40:AC41 AC43:AC45 AC50:AC53 AC60:AC63">
    <cfRule type="cellIs" dxfId="686" priority="76" operator="equal">
      <formula>1</formula>
    </cfRule>
  </conditionalFormatting>
  <conditionalFormatting sqref="BQ9:BQ10">
    <cfRule type="duplicateValues" dxfId="685" priority="28"/>
  </conditionalFormatting>
  <conditionalFormatting sqref="BQ2:BR2">
    <cfRule type="duplicateValues" dxfId="684" priority="29"/>
  </conditionalFormatting>
  <conditionalFormatting sqref="DT2:DT44">
    <cfRule type="duplicateValues" dxfId="681" priority="9"/>
  </conditionalFormatting>
  <conditionalFormatting sqref="DT2:DT570">
    <cfRule type="duplicateValues" dxfId="680" priority="4"/>
  </conditionalFormatting>
  <conditionalFormatting sqref="DT45:DT87">
    <cfRule type="duplicateValues" dxfId="679" priority="7"/>
  </conditionalFormatting>
  <conditionalFormatting sqref="DT88:DT130">
    <cfRule type="duplicateValues" dxfId="678" priority="8"/>
  </conditionalFormatting>
  <conditionalFormatting sqref="DT131:DT173">
    <cfRule type="duplicateValues" dxfId="677" priority="10"/>
  </conditionalFormatting>
  <conditionalFormatting sqref="DT174:DT217">
    <cfRule type="duplicateValues" dxfId="676" priority="11"/>
  </conditionalFormatting>
  <conditionalFormatting sqref="DT257:DT287">
    <cfRule type="duplicateValues" dxfId="675" priority="22"/>
  </conditionalFormatting>
  <conditionalFormatting sqref="DU257:DU286">
    <cfRule type="duplicateValues" dxfId="674" priority="17"/>
  </conditionalFormatting>
  <conditionalFormatting sqref="DU287">
    <cfRule type="duplicateValues" dxfId="673" priority="16"/>
  </conditionalFormatting>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50"/>
  <sheetViews>
    <sheetView showGridLines="0" showRowColHeaders="0" showZeros="0" zoomScaleNormal="100" workbookViewId="0">
      <selection activeCell="H8" sqref="H8:Q8"/>
    </sheetView>
  </sheetViews>
  <sheetFormatPr defaultColWidth="0" defaultRowHeight="14.45" customHeight="1" zeroHeight="1"/>
  <cols>
    <col min="1" max="1" width="3.42578125" style="293" customWidth="1"/>
    <col min="2" max="2" width="5.5703125" style="293" customWidth="1"/>
    <col min="3" max="3" width="5.5703125" style="264" customWidth="1"/>
    <col min="4" max="4" width="14.7109375" style="264" customWidth="1"/>
    <col min="5" max="5" width="5.28515625" style="264" customWidth="1"/>
    <col min="6" max="6" width="8.7109375" style="264" customWidth="1"/>
    <col min="7" max="7" width="5.5703125" style="264" customWidth="1"/>
    <col min="8" max="8" width="6" style="264" customWidth="1"/>
    <col min="9" max="9" width="6.28515625" style="264" customWidth="1"/>
    <col min="10" max="12" width="6" style="264" customWidth="1"/>
    <col min="13" max="13" width="6.28515625" style="264" customWidth="1"/>
    <col min="14" max="16" width="6" style="264" customWidth="1"/>
    <col min="17" max="17" width="6.28515625"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65" width="0" style="264" hidden="1" customWidth="1"/>
    <col min="6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31" t="str">
        <f>'Translate&amp;Prices&amp;Logo'!$B$169&amp;" "&amp;" "&amp;2</f>
        <v>Frame  2</v>
      </c>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373"/>
      <c r="AL2" s="373"/>
      <c r="AM2" s="373"/>
      <c r="AN2" s="373"/>
      <c r="AO2" s="373"/>
      <c r="AP2" s="597" t="str">
        <f>'Translate&amp;Prices&amp;Logo'!$B$540</f>
        <v>Main page</v>
      </c>
      <c r="AQ2" s="598"/>
      <c r="AR2" s="598"/>
      <c r="AS2" s="598"/>
      <c r="AW2" s="264" t="e">
        <f>VLOOKUP(H8,'Translate&amp;Prices&amp;Logo'!B77:D82,3,0)</f>
        <v>#N/A</v>
      </c>
      <c r="AX2" s="292" t="e">
        <f>VLOOKUP(AW2,'Translate&amp;Prices&amp;Logo'!B6:D60,2,0)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31"/>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1"/>
      <c r="AG3" s="531"/>
      <c r="AH3" s="531"/>
      <c r="AI3" s="531"/>
      <c r="AJ3" s="531"/>
      <c r="AK3" s="373"/>
      <c r="AL3" s="373"/>
      <c r="AM3" s="373"/>
      <c r="AN3" s="373"/>
      <c r="AO3" s="373"/>
      <c r="AP3" s="597"/>
      <c r="AQ3" s="598"/>
      <c r="AR3" s="598"/>
      <c r="AS3" s="598"/>
      <c r="AX3" s="292" t="e">
        <f>VLOOKUP(AW2,'Translate&amp;Prices&amp;Logo'!B:D,3,0)</f>
        <v>#N/A</v>
      </c>
      <c r="AY3" s="293" t="e">
        <f>AT9+AX3</f>
        <v>#N/A</v>
      </c>
      <c r="AZ3" s="294"/>
      <c r="BA3" s="293"/>
      <c r="BB3" s="292"/>
      <c r="BC3" s="292"/>
      <c r="BD3" s="596">
        <f>(AI30/1000)*H11</f>
        <v>0</v>
      </c>
      <c r="BE3" s="596"/>
      <c r="BF3" s="596"/>
      <c r="BG3" s="596"/>
      <c r="BH3" s="596"/>
      <c r="BI3" s="596">
        <f>(AR14/1000)*M11</f>
        <v>0</v>
      </c>
      <c r="BJ3" s="596"/>
      <c r="BK3" s="596"/>
      <c r="BL3" s="596"/>
      <c r="BM3" s="596"/>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11" t="str">
        <f>IFERROR(IF(kombinace_2!FC2=TRUE,'Translate&amp;Prices&amp;Logo'!B654,IF(VLOOKUP(H8,kombinace_2!$A:$E,5,0)=3,'Translate&amp;Prices&amp;Logo'!B642,"")), "")</f>
        <v/>
      </c>
      <c r="AC4" s="611"/>
      <c r="AD4" s="611"/>
      <c r="AE4" s="611"/>
      <c r="AF4" s="611"/>
      <c r="AG4" s="611"/>
      <c r="AH4" s="611"/>
      <c r="AI4" s="611"/>
      <c r="AJ4" s="611"/>
      <c r="AK4" s="611"/>
      <c r="AL4" s="611"/>
      <c r="AM4" s="611"/>
      <c r="AN4" s="611"/>
      <c r="AO4" s="74"/>
      <c r="AP4" s="74"/>
      <c r="AQ4" s="74"/>
      <c r="AR4" s="74"/>
      <c r="AS4" s="256"/>
      <c r="AT4" s="295"/>
      <c r="AU4" s="296"/>
      <c r="AV4" s="296"/>
    </row>
    <row r="5" spans="1:65" ht="34.5" customHeight="1" thickBot="1">
      <c r="A5" s="74"/>
      <c r="B5" s="610" t="str">
        <f>'Translate&amp;Prices&amp;Logo'!$B$169&amp;" "&amp;" "&amp;1</f>
        <v>Frame  1</v>
      </c>
      <c r="C5" s="610"/>
      <c r="D5" s="610"/>
      <c r="E5" s="257"/>
      <c r="F5" s="610" t="str">
        <f>'Translate&amp;Prices&amp;Logo'!$B$169&amp;" "&amp;" "&amp;2</f>
        <v>Frame  2</v>
      </c>
      <c r="G5" s="610"/>
      <c r="H5" s="610"/>
      <c r="I5" s="74"/>
      <c r="J5" s="610" t="str">
        <f>'Translate&amp;Prices&amp;Logo'!$B$169&amp;" "&amp;" "&amp;3</f>
        <v>Frame  3</v>
      </c>
      <c r="K5" s="610"/>
      <c r="L5" s="610"/>
      <c r="M5" s="74"/>
      <c r="N5" s="610" t="str">
        <f>'Translate&amp;Prices&amp;Logo'!$B$169&amp;" "&amp;" "&amp;4</f>
        <v>Frame  4</v>
      </c>
      <c r="O5" s="610"/>
      <c r="P5" s="610"/>
      <c r="Q5" s="74"/>
      <c r="R5" s="610" t="str">
        <f>'Translate&amp;Prices&amp;Logo'!$B$169&amp;" "&amp;" "&amp;5</f>
        <v>Frame  5</v>
      </c>
      <c r="S5" s="610"/>
      <c r="T5" s="610"/>
      <c r="U5" s="74"/>
      <c r="V5" s="610" t="str">
        <f>'Translate&amp;Prices&amp;Logo'!$B$169&amp;" "&amp;" "&amp;6</f>
        <v>Frame  6</v>
      </c>
      <c r="W5" s="610"/>
      <c r="X5" s="610"/>
      <c r="Y5" s="74"/>
      <c r="Z5" s="74"/>
      <c r="AA5" s="74"/>
      <c r="AB5" s="612"/>
      <c r="AC5" s="612"/>
      <c r="AD5" s="612"/>
      <c r="AE5" s="612"/>
      <c r="AF5" s="612"/>
      <c r="AG5" s="612"/>
      <c r="AH5" s="612"/>
      <c r="AI5" s="612"/>
      <c r="AJ5" s="612"/>
      <c r="AK5" s="612"/>
      <c r="AL5" s="612"/>
      <c r="AM5" s="612"/>
      <c r="AN5" s="612"/>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13" t="str">
        <f>'Translate&amp;Prices&amp;Logo'!$B$542</f>
        <v>Combination of 2 Profiles</v>
      </c>
      <c r="C7" s="614"/>
      <c r="D7" s="614"/>
      <c r="E7" s="614"/>
      <c r="F7" s="614"/>
      <c r="G7" s="651" t="str">
        <f>IF(kombinace_2!FC2=TRUE,AB4,"")</f>
        <v/>
      </c>
      <c r="H7" s="651"/>
      <c r="I7" s="651"/>
      <c r="J7" s="651"/>
      <c r="K7" s="651"/>
      <c r="L7" s="651"/>
      <c r="M7" s="651"/>
      <c r="N7" s="651"/>
      <c r="O7" s="651"/>
      <c r="P7" s="651"/>
      <c r="Q7" s="652"/>
      <c r="R7" s="384"/>
      <c r="S7" s="618" t="str">
        <f>'Translate&amp;Prices&amp;Logo'!$B$572</f>
        <v>Warning:</v>
      </c>
      <c r="T7" s="618"/>
      <c r="U7" s="618"/>
      <c r="V7" s="74"/>
      <c r="W7" s="74"/>
      <c r="X7" s="74"/>
      <c r="Y7" s="74"/>
      <c r="Z7" s="231"/>
      <c r="AA7" s="219"/>
      <c r="AB7" s="220"/>
      <c r="AC7" s="221"/>
      <c r="AD7" s="221"/>
      <c r="AE7" s="221"/>
      <c r="AF7" s="221"/>
      <c r="AG7" s="222"/>
      <c r="AH7" s="222"/>
      <c r="AI7" s="223"/>
      <c r="AJ7" s="617">
        <v>0</v>
      </c>
      <c r="AK7" s="221"/>
      <c r="AL7" s="221"/>
      <c r="AM7" s="221"/>
      <c r="AN7" s="221"/>
      <c r="AO7" s="224"/>
      <c r="AP7" s="225"/>
      <c r="AQ7" s="468"/>
      <c r="AR7" s="74"/>
      <c r="AS7" s="74"/>
      <c r="AT7" s="292"/>
      <c r="AU7" s="299" t="e">
        <f>VLOOKUP(H8,kombinace_2!$A:$B,2,0)</f>
        <v>#N/A</v>
      </c>
      <c r="AV7" s="293" t="e">
        <f>IF(AU7=2,"Široký",IF(AU7=1,"Úzký",IF(AU7=3,"kombo")))</f>
        <v>#N/A</v>
      </c>
    </row>
    <row r="8" spans="1:65" ht="45.6" customHeight="1">
      <c r="A8" s="212"/>
      <c r="B8" s="376" t="str">
        <f>'Translate&amp;Prices&amp;Logo'!$B$653</f>
        <v>Mesh frame filler</v>
      </c>
      <c r="C8" s="377"/>
      <c r="D8" s="377"/>
      <c r="E8" s="378" t="str">
        <f>'Translate&amp;Prices&amp;Logo'!$B$172</f>
        <v>Type of profile</v>
      </c>
      <c r="F8" s="378"/>
      <c r="G8" s="383"/>
      <c r="H8" s="619"/>
      <c r="I8" s="619"/>
      <c r="J8" s="619"/>
      <c r="K8" s="619"/>
      <c r="L8" s="619"/>
      <c r="M8" s="619"/>
      <c r="N8" s="619"/>
      <c r="O8" s="619"/>
      <c r="P8" s="619"/>
      <c r="Q8" s="620"/>
      <c r="R8" s="385"/>
      <c r="S8" s="633">
        <f>IF(AU10&gt;0,'Translate&amp;Prices&amp;Logo'!B303,IF(H8=kombinace_2!A54,'Translate&amp;Prices&amp;Logo'!B580,0))</f>
        <v>0</v>
      </c>
      <c r="T8" s="634"/>
      <c r="U8" s="634"/>
      <c r="V8" s="634"/>
      <c r="W8" s="634"/>
      <c r="X8" s="634"/>
      <c r="Y8" s="635"/>
      <c r="Z8" s="231"/>
      <c r="AA8" s="227"/>
      <c r="AB8" s="74"/>
      <c r="AC8" s="616" t="str">
        <f>'Translate&amp;Prices&amp;Logo'!$B$242</f>
        <v>Distance from edge</v>
      </c>
      <c r="AD8" s="616"/>
      <c r="AE8" s="616"/>
      <c r="AF8" s="616"/>
      <c r="AG8" s="616"/>
      <c r="AH8" s="74"/>
      <c r="AI8" s="211"/>
      <c r="AJ8" s="617"/>
      <c r="AK8" s="74"/>
      <c r="AL8" s="74"/>
      <c r="AM8" s="74"/>
      <c r="AN8" s="74"/>
      <c r="AO8" s="74"/>
      <c r="AP8" s="227"/>
      <c r="AQ8" s="468"/>
      <c r="AR8" s="74"/>
      <c r="AS8" s="74"/>
      <c r="AT8" s="292" t="e">
        <f>VLOOKUP(VLOOKUP(H8,'Translate&amp;Prices&amp;Logo'!B77:C82,2,0),'Translate&amp;Prices&amp;Logo'!B6:C60,2,0)</f>
        <v>#N/A</v>
      </c>
      <c r="AU8" s="293"/>
      <c r="AV8" s="293"/>
    </row>
    <row r="9" spans="1:65" ht="15.6" customHeight="1">
      <c r="A9" s="212"/>
      <c r="B9" s="624">
        <f>IFERROR(IF(AND(VLOOKUP(H8,kombinace_2!$A:$D,4,0)=1,kombinace_2!FC2=FALSE),'Translate&amp;Prices&amp;Logo'!$B$543,0),0)</f>
        <v>0</v>
      </c>
      <c r="C9" s="625"/>
      <c r="D9" s="625"/>
      <c r="E9" s="625"/>
      <c r="F9" s="625"/>
      <c r="G9" s="249"/>
      <c r="H9" s="605"/>
      <c r="I9" s="605"/>
      <c r="J9" s="605"/>
      <c r="K9" s="605"/>
      <c r="L9" s="605"/>
      <c r="M9" s="605"/>
      <c r="N9" s="605"/>
      <c r="O9" s="605"/>
      <c r="P9" s="605"/>
      <c r="Q9" s="606"/>
      <c r="R9" s="74"/>
      <c r="S9" s="627"/>
      <c r="T9" s="628"/>
      <c r="U9" s="628"/>
      <c r="V9" s="628"/>
      <c r="W9" s="628"/>
      <c r="X9" s="628"/>
      <c r="Y9" s="629"/>
      <c r="Z9" s="231"/>
      <c r="AA9" s="228"/>
      <c r="AB9" s="74"/>
      <c r="AC9" s="621">
        <v>0</v>
      </c>
      <c r="AD9" s="621"/>
      <c r="AE9" s="226"/>
      <c r="AF9" s="615" t="str">
        <f>('Translate&amp;Prices&amp;Logo'!$B$548)&amp;" "&amp;H26&amp;" "&amp;"mm"</f>
        <v>Pitch  mm</v>
      </c>
      <c r="AG9" s="615"/>
      <c r="AH9" s="615"/>
      <c r="AI9" s="615"/>
      <c r="AJ9" s="615"/>
      <c r="AK9" s="615"/>
      <c r="AL9" s="74"/>
      <c r="AM9" s="74"/>
      <c r="AN9" s="74"/>
      <c r="AO9" s="74"/>
      <c r="AP9" s="228"/>
      <c r="AQ9" s="468"/>
      <c r="AR9" s="74"/>
      <c r="AS9" s="74"/>
      <c r="AT9" s="292" t="e">
        <f>VLOOKUP(VLOOKUP(H8,'Translate&amp;Prices&amp;Logo'!B77:C82,2,0),'Translate&amp;Prices&amp;Logo'!B6:D60,3,0)</f>
        <v>#N/A</v>
      </c>
      <c r="AU9" s="299" t="str">
        <f>IFERROR((VLOOKUP(H12,kombinace_2!$DP$2:$DQ$3,2,0)),"")</f>
        <v/>
      </c>
      <c r="AV9" s="293"/>
    </row>
    <row r="10" spans="1:65" ht="18" customHeight="1">
      <c r="A10" s="212"/>
      <c r="B10" s="258"/>
      <c r="C10" s="250"/>
      <c r="D10" s="250"/>
      <c r="E10" s="250"/>
      <c r="F10" s="250"/>
      <c r="G10" s="250"/>
      <c r="H10" s="603"/>
      <c r="I10" s="603"/>
      <c r="J10" s="603"/>
      <c r="K10" s="603"/>
      <c r="L10" s="609"/>
      <c r="M10" s="603"/>
      <c r="N10" s="603"/>
      <c r="O10" s="603"/>
      <c r="P10" s="603"/>
      <c r="Q10" s="604"/>
      <c r="R10" s="212"/>
      <c r="S10" s="627">
        <f>IF(AU10&gt;0,'Translate&amp;Prices&amp;Logo'!B571,0)</f>
        <v>0</v>
      </c>
      <c r="T10" s="628"/>
      <c r="U10" s="628"/>
      <c r="V10" s="628"/>
      <c r="W10" s="628"/>
      <c r="X10" s="628"/>
      <c r="Y10" s="629"/>
      <c r="Z10" s="231"/>
      <c r="AA10" s="228"/>
      <c r="AB10" s="74"/>
      <c r="AC10" s="74"/>
      <c r="AD10" s="622">
        <v>0</v>
      </c>
      <c r="AE10" s="663" t="str">
        <f>'Translate&amp;Prices&amp;Logo'!$B$637</f>
        <v>Distance from the top edge</v>
      </c>
      <c r="AF10" s="74"/>
      <c r="AG10" s="74"/>
      <c r="AH10" s="74"/>
      <c r="AI10" s="211"/>
      <c r="AJ10" s="212"/>
      <c r="AK10" s="74"/>
      <c r="AL10" s="74"/>
      <c r="AM10" s="74"/>
      <c r="AN10" s="74"/>
      <c r="AO10" s="74"/>
      <c r="AP10" s="228"/>
      <c r="AQ10" s="468"/>
      <c r="AR10" s="74"/>
      <c r="AS10" s="74"/>
      <c r="AT10" s="292" t="s">
        <v>2153</v>
      </c>
      <c r="AU10" s="293">
        <f>IFERROR(VLOOKUP(H9,kombinace_2!$BY$13:$BZ$15,2,0),0)</f>
        <v>0</v>
      </c>
      <c r="AV10" s="293"/>
    </row>
    <row r="11" spans="1:65" ht="18" customHeight="1">
      <c r="A11" s="212"/>
      <c r="B11" s="647" t="str">
        <f>('Translate&amp;Prices&amp;Logo'!$B$543)&amp;" "&amp;"("&amp;'Translate&amp;Prices&amp;Logo'!$B$174&amp;")"</f>
        <v>Dividing bars (Quantity)</v>
      </c>
      <c r="C11" s="648"/>
      <c r="D11" s="648"/>
      <c r="E11" s="648"/>
      <c r="F11" s="648"/>
      <c r="G11" s="249"/>
      <c r="H11" s="607"/>
      <c r="I11" s="607"/>
      <c r="J11" s="607"/>
      <c r="K11" s="607"/>
      <c r="L11" s="608"/>
      <c r="M11" s="607"/>
      <c r="N11" s="607"/>
      <c r="O11" s="607"/>
      <c r="P11" s="607"/>
      <c r="Q11" s="623"/>
      <c r="R11" s="212"/>
      <c r="S11" s="627"/>
      <c r="T11" s="628"/>
      <c r="U11" s="628"/>
      <c r="V11" s="628"/>
      <c r="W11" s="628"/>
      <c r="X11" s="628"/>
      <c r="Y11" s="629"/>
      <c r="Z11" s="231"/>
      <c r="AA11" s="229"/>
      <c r="AB11" s="230"/>
      <c r="AC11" s="74"/>
      <c r="AD11" s="622"/>
      <c r="AE11" s="663"/>
      <c r="AF11" s="74"/>
      <c r="AG11" s="74"/>
      <c r="AH11" s="74"/>
      <c r="AI11" s="211"/>
      <c r="AJ11" s="212"/>
      <c r="AK11" s="74"/>
      <c r="AL11" s="74"/>
      <c r="AM11" s="74"/>
      <c r="AN11" s="74"/>
      <c r="AO11" s="231"/>
      <c r="AP11" s="225"/>
      <c r="AQ11" s="468"/>
      <c r="AR11" s="74"/>
      <c r="AS11" s="74"/>
      <c r="AT11" s="299">
        <f>IFERROR(IF(kombinace_2!$H$1=TRUE,BA2+AY3,0),0)</f>
        <v>0</v>
      </c>
      <c r="AU11" s="299"/>
      <c r="AV11" s="293"/>
    </row>
    <row r="12" spans="1:65" ht="18" customHeight="1">
      <c r="A12" s="212"/>
      <c r="B12" s="624" t="str">
        <f>'Translate&amp;Prices&amp;Logo'!$B$258</f>
        <v>Type of fittings</v>
      </c>
      <c r="C12" s="625"/>
      <c r="D12" s="625"/>
      <c r="E12" s="625"/>
      <c r="F12" s="625"/>
      <c r="G12" s="249"/>
      <c r="H12" s="605"/>
      <c r="I12" s="605"/>
      <c r="J12" s="605"/>
      <c r="K12" s="605"/>
      <c r="L12" s="605"/>
      <c r="M12" s="605"/>
      <c r="N12" s="605"/>
      <c r="O12" s="605"/>
      <c r="P12" s="605"/>
      <c r="Q12" s="606"/>
      <c r="R12" s="212"/>
      <c r="S12" s="627"/>
      <c r="T12" s="628"/>
      <c r="U12" s="628"/>
      <c r="V12" s="628"/>
      <c r="W12" s="628"/>
      <c r="X12" s="628"/>
      <c r="Y12" s="629"/>
      <c r="Z12" s="231"/>
      <c r="AA12" s="229"/>
      <c r="AB12" s="230"/>
      <c r="AC12" s="74"/>
      <c r="AD12" s="622"/>
      <c r="AE12" s="663"/>
      <c r="AF12" s="74"/>
      <c r="AG12" s="74"/>
      <c r="AH12" s="74"/>
      <c r="AI12" s="211"/>
      <c r="AJ12" s="212"/>
      <c r="AK12" s="74"/>
      <c r="AL12" s="74"/>
      <c r="AM12" s="74"/>
      <c r="AN12" s="74"/>
      <c r="AO12" s="231"/>
      <c r="AP12" s="225"/>
      <c r="AQ12" s="468"/>
      <c r="AR12" s="74"/>
      <c r="AS12" s="74"/>
      <c r="AT12" s="293"/>
      <c r="AU12" s="293"/>
      <c r="AV12" s="293"/>
    </row>
    <row r="13" spans="1:65" ht="18" customHeight="1" thickBot="1">
      <c r="A13" s="212"/>
      <c r="B13" s="624" t="str">
        <f>'Translate&amp;Prices&amp;Logo'!$B$544</f>
        <v>Fittings brand</v>
      </c>
      <c r="C13" s="625"/>
      <c r="D13" s="625"/>
      <c r="E13" s="625"/>
      <c r="F13" s="625"/>
      <c r="G13" s="249"/>
      <c r="H13" s="605"/>
      <c r="I13" s="605"/>
      <c r="J13" s="605"/>
      <c r="K13" s="605"/>
      <c r="L13" s="605"/>
      <c r="M13" s="605"/>
      <c r="N13" s="605"/>
      <c r="O13" s="605"/>
      <c r="P13" s="605"/>
      <c r="Q13" s="606"/>
      <c r="R13" s="212"/>
      <c r="S13" s="627">
        <f>IF(H13="Salice"," ",IF(H19&gt;=2,'Translate&amp;Prices&amp;Logo'!B575,0))</f>
        <v>0</v>
      </c>
      <c r="T13" s="628"/>
      <c r="U13" s="628"/>
      <c r="V13" s="628"/>
      <c r="W13" s="628"/>
      <c r="X13" s="628"/>
      <c r="Y13" s="629"/>
      <c r="Z13" s="231"/>
      <c r="AA13" s="229"/>
      <c r="AB13" s="230"/>
      <c r="AC13" s="74"/>
      <c r="AD13" s="226"/>
      <c r="AE13" s="663"/>
      <c r="AF13" s="74"/>
      <c r="AG13" s="74"/>
      <c r="AH13" s="74"/>
      <c r="AI13" s="211"/>
      <c r="AJ13" s="212"/>
      <c r="AK13" s="74"/>
      <c r="AL13" s="74"/>
      <c r="AM13" s="74"/>
      <c r="AN13" s="74"/>
      <c r="AO13" s="231"/>
      <c r="AP13" s="225"/>
      <c r="AQ13" s="468"/>
      <c r="AR13" s="74"/>
      <c r="AS13" s="74"/>
      <c r="AT13" s="412">
        <f>IFERROR((((AI30/1000)+(AR14/1000))*2)*(VLOOKUP(H8,'Translate&amp;Prices&amp;Logo'!B6:C74,2,0))+(VLOOKUP(H8,'Translate&amp;Prices&amp;Logo'!B6:D74,3,0)),0)</f>
        <v>0</v>
      </c>
      <c r="AU13" s="299"/>
      <c r="AV13" s="293"/>
    </row>
    <row r="14" spans="1:65" ht="18" customHeight="1">
      <c r="A14" s="212"/>
      <c r="B14" s="624">
        <f>IFERROR(IF(H12='Translate&amp;Prices&amp;Logo'!B551,'Translate&amp;Prices&amp;Logo'!$B$546,0),0)</f>
        <v>0</v>
      </c>
      <c r="C14" s="625"/>
      <c r="D14" s="625"/>
      <c r="E14" s="625"/>
      <c r="F14" s="625"/>
      <c r="G14" s="249"/>
      <c r="H14" s="605"/>
      <c r="I14" s="605"/>
      <c r="J14" s="605"/>
      <c r="K14" s="605"/>
      <c r="L14" s="605"/>
      <c r="M14" s="605"/>
      <c r="N14" s="605"/>
      <c r="O14" s="605"/>
      <c r="P14" s="605"/>
      <c r="Q14" s="606"/>
      <c r="R14" s="212"/>
      <c r="S14" s="627"/>
      <c r="T14" s="628"/>
      <c r="U14" s="628"/>
      <c r="V14" s="628"/>
      <c r="W14" s="628"/>
      <c r="X14" s="628"/>
      <c r="Y14" s="629"/>
      <c r="Z14" s="231"/>
      <c r="AA14" s="229"/>
      <c r="AB14" s="230"/>
      <c r="AC14" s="74"/>
      <c r="AD14" s="626" t="str">
        <f>('Translate&amp;Prices&amp;Logo'!$B$548)&amp;" "&amp;H26&amp;" "&amp;"mm"</f>
        <v>Pitch  mm</v>
      </c>
      <c r="AE14" s="663"/>
      <c r="AF14" s="74"/>
      <c r="AG14" s="74"/>
      <c r="AH14" s="74"/>
      <c r="AI14" s="211"/>
      <c r="AJ14" s="212"/>
      <c r="AK14" s="74"/>
      <c r="AL14" s="74"/>
      <c r="AM14" s="661" t="str">
        <f>('Translate&amp;Prices&amp;Logo'!$B$548)&amp;" "&amp;H26&amp;" "&amp;"mm"</f>
        <v>Pitch  mm</v>
      </c>
      <c r="AN14" s="74"/>
      <c r="AO14" s="232"/>
      <c r="AP14" s="225"/>
      <c r="AQ14" s="468"/>
      <c r="AR14" s="602"/>
      <c r="AS14" s="74"/>
      <c r="AT14" s="299"/>
      <c r="AU14" s="293"/>
      <c r="AV14" s="293"/>
      <c r="AW14" s="318" t="s">
        <v>3169</v>
      </c>
    </row>
    <row r="15" spans="1:65" ht="18" customHeight="1" thickBot="1">
      <c r="A15" s="212"/>
      <c r="B15" s="624" t="str">
        <f>'Translate&amp;Prices&amp;Logo'!$B$545</f>
        <v>Fittings variant</v>
      </c>
      <c r="C15" s="625"/>
      <c r="D15" s="625"/>
      <c r="E15" s="625"/>
      <c r="F15" s="625"/>
      <c r="G15" s="249"/>
      <c r="H15" s="605"/>
      <c r="I15" s="605"/>
      <c r="J15" s="605"/>
      <c r="K15" s="605"/>
      <c r="L15" s="605"/>
      <c r="M15" s="605"/>
      <c r="N15" s="605"/>
      <c r="O15" s="605"/>
      <c r="P15" s="605"/>
      <c r="Q15" s="606"/>
      <c r="R15" s="212"/>
      <c r="S15" s="627"/>
      <c r="T15" s="628"/>
      <c r="U15" s="628"/>
      <c r="V15" s="628"/>
      <c r="W15" s="628"/>
      <c r="X15" s="628"/>
      <c r="Y15" s="629"/>
      <c r="Z15" s="231"/>
      <c r="AA15" s="229"/>
      <c r="AB15" s="233"/>
      <c r="AC15" s="74"/>
      <c r="AD15" s="626"/>
      <c r="AE15" s="663"/>
      <c r="AF15" s="74"/>
      <c r="AG15" s="74"/>
      <c r="AH15" s="74"/>
      <c r="AI15" s="211"/>
      <c r="AJ15" s="212"/>
      <c r="AK15" s="74"/>
      <c r="AL15" s="74"/>
      <c r="AM15" s="661"/>
      <c r="AN15" s="74"/>
      <c r="AO15" s="232"/>
      <c r="AP15" s="225"/>
      <c r="AQ15" s="468"/>
      <c r="AR15" s="602"/>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5" t="str">
        <f>IF(H15=kombinace_2!AB40,'Translate&amp;Prices&amp;Logo'!$B$224,IF(H15=kombinace_2!AB41,'Translate&amp;Prices&amp;Logo'!$B$224,IF(H12='závěsy dle výklopu'!BQ2,'Translate&amp;Prices&amp;Logo'!$B$222,'Translate&amp;Prices&amp;Logo'!$B$218)))</f>
        <v>Select Frame Position</v>
      </c>
      <c r="C16" s="646"/>
      <c r="D16" s="646"/>
      <c r="E16" s="646"/>
      <c r="F16" s="644"/>
      <c r="G16" s="644"/>
      <c r="H16" s="644"/>
      <c r="I16" s="644"/>
      <c r="J16" s="640" t="str">
        <f>IF(OR(H15=kombinace_2!AB40,H15=kombinace_2!AB7,H15=kombinace_2!AB15,H15=kombinace_2!AB20,H15=kombinace_2!AB21,H15=kombinace_2!AB22),'Translate&amp;Prices&amp;Logo'!$B$226,IF(H15=kombinace_2!AB41,'Translate&amp;Prices&amp;Logo'!$B$226,'Translate&amp;Prices&amp;Logo'!$B$232))</f>
        <v>Second door type</v>
      </c>
      <c r="K16" s="640"/>
      <c r="L16" s="640"/>
      <c r="M16" s="640"/>
      <c r="N16" s="638"/>
      <c r="O16" s="638"/>
      <c r="P16" s="638"/>
      <c r="Q16" s="639"/>
      <c r="R16" s="212"/>
      <c r="S16" s="627"/>
      <c r="T16" s="628"/>
      <c r="U16" s="628"/>
      <c r="V16" s="628"/>
      <c r="W16" s="628"/>
      <c r="X16" s="628"/>
      <c r="Y16" s="629"/>
      <c r="Z16" s="231"/>
      <c r="AA16" s="229"/>
      <c r="AB16" s="233"/>
      <c r="AC16" s="74"/>
      <c r="AD16" s="626"/>
      <c r="AE16" s="663"/>
      <c r="AF16" s="74"/>
      <c r="AG16" s="74"/>
      <c r="AH16" s="74"/>
      <c r="AI16" s="211"/>
      <c r="AJ16" s="212"/>
      <c r="AK16" s="74"/>
      <c r="AL16" s="74"/>
      <c r="AM16" s="661"/>
      <c r="AN16" s="74"/>
      <c r="AO16" s="232"/>
      <c r="AP16" s="225"/>
      <c r="AQ16" s="468"/>
      <c r="AR16" s="602"/>
      <c r="AS16" s="74"/>
      <c r="AT16" s="299"/>
      <c r="AU16" s="293">
        <f>(AI30/1000)/AU15</f>
        <v>0</v>
      </c>
      <c r="AV16" s="293">
        <f>(AR14/1000)/AV15</f>
        <v>0</v>
      </c>
      <c r="AW16" s="320">
        <f>(2*AU16)+(2*AV16)</f>
        <v>0</v>
      </c>
    </row>
    <row r="17" spans="1:52" ht="18" customHeight="1">
      <c r="A17" s="212"/>
      <c r="B17" s="624">
        <f>IF(H12='Translate&amp;Prices&amp;Logo'!B551,'Translate&amp;Prices&amp;Logo'!B238,IF(H15=kombinace_2!AB8,'Translate&amp;Prices&amp;Logo'!B284,0))</f>
        <v>0</v>
      </c>
      <c r="C17" s="625"/>
      <c r="D17" s="625"/>
      <c r="E17" s="625"/>
      <c r="F17" s="625"/>
      <c r="G17" s="249"/>
      <c r="H17" s="605"/>
      <c r="I17" s="605"/>
      <c r="J17" s="605"/>
      <c r="K17" s="605"/>
      <c r="L17" s="605"/>
      <c r="M17" s="605"/>
      <c r="N17" s="605"/>
      <c r="O17" s="605"/>
      <c r="P17" s="605"/>
      <c r="Q17" s="606"/>
      <c r="R17" s="212"/>
      <c r="S17" s="627"/>
      <c r="T17" s="628"/>
      <c r="U17" s="628"/>
      <c r="V17" s="628"/>
      <c r="W17" s="628"/>
      <c r="X17" s="628"/>
      <c r="Y17" s="629"/>
      <c r="Z17" s="231"/>
      <c r="AA17" s="229"/>
      <c r="AB17" s="233"/>
      <c r="AC17" s="74"/>
      <c r="AD17" s="626"/>
      <c r="AE17" s="74"/>
      <c r="AF17" s="74"/>
      <c r="AG17" s="74"/>
      <c r="AH17" s="74"/>
      <c r="AI17" s="211"/>
      <c r="AJ17" s="212"/>
      <c r="AK17" s="74"/>
      <c r="AL17" s="74"/>
      <c r="AM17" s="661"/>
      <c r="AN17" s="74"/>
      <c r="AO17" s="232"/>
      <c r="AP17" s="225"/>
      <c r="AQ17" s="468"/>
      <c r="AR17" s="602"/>
      <c r="AS17" s="74"/>
      <c r="AT17" s="299">
        <f>IF(AU10=1,BD3*'Translate&amp;Prices&amp;Logo'!C51,IF(AU10=2,BI3*'Translate&amp;Prices&amp;Logo'!C51,IF(AU10=3,(BD3+BI3)*'Translate&amp;Prices&amp;Logo'!C51,IF(AU10=0,0))))</f>
        <v>0</v>
      </c>
      <c r="AU17" s="293" t="e">
        <f>IF(H13&lt;&gt;"Salice",AU23,0)</f>
        <v>#N/A</v>
      </c>
      <c r="AV17" s="293">
        <f>IF(H13="Salice",VLOOKUP(H17,kombinace_2!$BY:$BZ,2,0),0)</f>
        <v>0</v>
      </c>
    </row>
    <row r="18" spans="1:52" ht="18" customHeight="1">
      <c r="A18" s="212"/>
      <c r="B18" s="624">
        <f>IFERROR(IF(VLOOKUP(H15,kombinace_2!CD:CE,2,0)=1,'Translate&amp;Prices&amp;Logo'!$B$547,0),0)</f>
        <v>0</v>
      </c>
      <c r="C18" s="625"/>
      <c r="D18" s="625"/>
      <c r="E18" s="625"/>
      <c r="F18" s="625"/>
      <c r="G18" s="249"/>
      <c r="H18" s="605"/>
      <c r="I18" s="605"/>
      <c r="J18" s="605"/>
      <c r="K18" s="605"/>
      <c r="L18" s="605"/>
      <c r="M18" s="605"/>
      <c r="N18" s="605"/>
      <c r="O18" s="605"/>
      <c r="P18" s="605"/>
      <c r="Q18" s="606"/>
      <c r="R18" s="212"/>
      <c r="S18" s="627">
        <f>IFERROR((IF(AND(AU7=2,H27&gt;""),'Translate&amp;Prices&amp;Logo'!$B$576,IF(AND(AU7=1,H27&gt;""),'Translate&amp;Prices&amp;Logo'!$B$626,IF(AND(AU7=3,H27&gt;""),'Translate&amp;Prices&amp;Logo'!$B$626,0)))),0)</f>
        <v>0</v>
      </c>
      <c r="T18" s="628"/>
      <c r="U18" s="628"/>
      <c r="V18" s="628"/>
      <c r="W18" s="628"/>
      <c r="X18" s="628"/>
      <c r="Y18" s="629"/>
      <c r="Z18" s="231"/>
      <c r="AA18" s="229"/>
      <c r="AB18" s="233"/>
      <c r="AC18" s="74"/>
      <c r="AD18" s="626"/>
      <c r="AE18" s="74"/>
      <c r="AF18" s="74"/>
      <c r="AG18" s="74"/>
      <c r="AH18" s="74"/>
      <c r="AI18" s="211"/>
      <c r="AJ18" s="212"/>
      <c r="AK18" s="74"/>
      <c r="AL18" s="74"/>
      <c r="AM18" s="661"/>
      <c r="AN18" s="74"/>
      <c r="AO18" s="232"/>
      <c r="AP18" s="225"/>
      <c r="AQ18" s="468"/>
      <c r="AR18" s="602"/>
      <c r="AS18" s="74"/>
      <c r="AT18" s="299"/>
      <c r="AU18" s="293"/>
      <c r="AV18" s="293"/>
    </row>
    <row r="19" spans="1:52" ht="18" customHeight="1">
      <c r="A19" s="212"/>
      <c r="B19" s="624">
        <f>IFERROR(IF(H12='Translate&amp;Prices&amp;Logo'!B551,'Translate&amp;Prices&amp;Logo'!$B$223,IF(VLOOKUP(H15,kombinace_2!CD:CE,2,0)=1,'Translate&amp;Prices&amp;Logo'!$B$223,)),0)</f>
        <v>0</v>
      </c>
      <c r="C19" s="625"/>
      <c r="D19" s="625"/>
      <c r="E19" s="625"/>
      <c r="F19" s="625"/>
      <c r="G19" s="249"/>
      <c r="H19" s="605"/>
      <c r="I19" s="605"/>
      <c r="J19" s="605"/>
      <c r="K19" s="605"/>
      <c r="L19" s="605"/>
      <c r="M19" s="605"/>
      <c r="N19" s="605"/>
      <c r="O19" s="605"/>
      <c r="P19" s="605"/>
      <c r="Q19" s="606"/>
      <c r="R19" s="212"/>
      <c r="S19" s="627"/>
      <c r="T19" s="628"/>
      <c r="U19" s="628"/>
      <c r="V19" s="628"/>
      <c r="W19" s="628"/>
      <c r="X19" s="628"/>
      <c r="Y19" s="629"/>
      <c r="Z19" s="231"/>
      <c r="AA19" s="228"/>
      <c r="AB19" s="601">
        <v>0</v>
      </c>
      <c r="AC19" s="601"/>
      <c r="AD19" s="626"/>
      <c r="AE19" s="74"/>
      <c r="AF19" s="74"/>
      <c r="AG19" s="74"/>
      <c r="AH19" s="74"/>
      <c r="AI19" s="310"/>
      <c r="AJ19" s="212"/>
      <c r="AK19" s="74"/>
      <c r="AL19" s="660" t="str">
        <f>'Translate&amp;Prices&amp;Logo'!$B$636</f>
        <v>Distance from the bottom edge</v>
      </c>
      <c r="AM19" s="661"/>
      <c r="AN19" s="601">
        <v>0</v>
      </c>
      <c r="AO19" s="601"/>
      <c r="AP19" s="227"/>
      <c r="AQ19" s="468"/>
      <c r="AR19" s="600" t="str">
        <f>'Translate&amp;Prices&amp;Logo'!$B$176</f>
        <v>Height</v>
      </c>
      <c r="AS19" s="74"/>
      <c r="AT19" s="299"/>
      <c r="AU19" s="291">
        <f>IFERROR(IF(H12='závěsy dle výklopu'!BR2,VLOOKUP(H15,kombinace_2!$CD$3:$CF$18,3,0),IF(H12='závěsy dle výklopu'!BQ2,1,0)),0)</f>
        <v>0</v>
      </c>
      <c r="AV19" s="293">
        <f>IFERROR(VLOOKUP(H15,kombinace_2!$CD:$CF,3,0),0)</f>
        <v>0</v>
      </c>
    </row>
    <row r="20" spans="1:52" ht="18" customHeight="1">
      <c r="A20" s="212"/>
      <c r="B20" s="649">
        <f>IF(H13&lt;&gt;"Salice",(IFERROR('Translate&amp;Prices&amp;Logo'!$B$242&amp;" "&amp;(VLOOKUP(H17,kombinace_2!$BY$32:$CA$35,2,0)),0)),0)</f>
        <v>0</v>
      </c>
      <c r="C20" s="650"/>
      <c r="D20" s="650"/>
      <c r="E20" s="650"/>
      <c r="F20" s="636">
        <v>100</v>
      </c>
      <c r="G20" s="636"/>
      <c r="H20" s="636"/>
      <c r="I20" s="636"/>
      <c r="J20" s="650">
        <f>IFERROR('Translate&amp;Prices&amp;Logo'!$B$242&amp;" "&amp;(VLOOKUP(H17,kombinace_2!$BY$32:$CA$35,3,0)),0)</f>
        <v>0</v>
      </c>
      <c r="K20" s="650"/>
      <c r="L20" s="650"/>
      <c r="M20" s="650"/>
      <c r="N20" s="636">
        <v>100</v>
      </c>
      <c r="O20" s="636"/>
      <c r="P20" s="636"/>
      <c r="Q20" s="637"/>
      <c r="R20" s="212"/>
      <c r="S20" s="627"/>
      <c r="T20" s="628"/>
      <c r="U20" s="628"/>
      <c r="V20" s="628"/>
      <c r="W20" s="628"/>
      <c r="X20" s="628"/>
      <c r="Y20" s="629"/>
      <c r="Z20" s="231"/>
      <c r="AA20" s="229"/>
      <c r="AB20" s="230"/>
      <c r="AC20" s="74"/>
      <c r="AD20" s="626"/>
      <c r="AE20" s="74"/>
      <c r="AF20" s="74"/>
      <c r="AG20" s="74"/>
      <c r="AH20" s="74"/>
      <c r="AI20" s="211"/>
      <c r="AJ20" s="212"/>
      <c r="AK20" s="74"/>
      <c r="AL20" s="660"/>
      <c r="AM20" s="661"/>
      <c r="AN20" s="74"/>
      <c r="AO20" s="232"/>
      <c r="AP20" s="225"/>
      <c r="AQ20" s="468"/>
      <c r="AR20" s="600"/>
      <c r="AS20" s="74"/>
      <c r="AT20" s="299"/>
      <c r="AU20" s="293"/>
      <c r="AV20" s="293"/>
    </row>
    <row r="21" spans="1:52" ht="18" customHeight="1">
      <c r="A21" s="212"/>
      <c r="B21" s="624" t="str">
        <f>IF(kombinace_2!FC2=FALSE,'Translate&amp;Prices&amp;Logo'!$B$173," ")</f>
        <v>Type of glass</v>
      </c>
      <c r="C21" s="625"/>
      <c r="D21" s="625"/>
      <c r="E21" s="625"/>
      <c r="F21" s="625"/>
      <c r="G21" s="249"/>
      <c r="H21" s="605"/>
      <c r="I21" s="605"/>
      <c r="J21" s="605"/>
      <c r="K21" s="605"/>
      <c r="L21" s="605"/>
      <c r="M21" s="605"/>
      <c r="N21" s="605"/>
      <c r="O21" s="605"/>
      <c r="P21" s="605"/>
      <c r="Q21" s="606"/>
      <c r="R21" s="212"/>
      <c r="S21" s="627"/>
      <c r="T21" s="628"/>
      <c r="U21" s="628"/>
      <c r="V21" s="628"/>
      <c r="W21" s="628"/>
      <c r="X21" s="628"/>
      <c r="Y21" s="629"/>
      <c r="Z21" s="231"/>
      <c r="AA21" s="229"/>
      <c r="AB21" s="230"/>
      <c r="AC21" s="74"/>
      <c r="AD21" s="626"/>
      <c r="AE21" s="74"/>
      <c r="AF21" s="74"/>
      <c r="AG21" s="74"/>
      <c r="AH21" s="74"/>
      <c r="AI21" s="211"/>
      <c r="AJ21" s="212"/>
      <c r="AK21" s="74"/>
      <c r="AL21" s="660"/>
      <c r="AM21" s="661"/>
      <c r="AN21" s="74"/>
      <c r="AO21" s="231"/>
      <c r="AP21" s="225"/>
      <c r="AQ21" s="468"/>
      <c r="AR21" s="600"/>
      <c r="AS21" s="74"/>
      <c r="AT21" s="299"/>
      <c r="AU21" s="293"/>
      <c r="AV21" s="293"/>
      <c r="AY21" s="264" t="e">
        <f>AND(AU7=2,H27&gt;"")</f>
        <v>#N/A</v>
      </c>
      <c r="AZ21" s="264" t="e">
        <f>AND(AU7=1,H27&gt;"")</f>
        <v>#N/A</v>
      </c>
    </row>
    <row r="22" spans="1:52" ht="18" customHeight="1">
      <c r="A22" s="212"/>
      <c r="B22" s="379"/>
      <c r="C22" s="380"/>
      <c r="D22" s="380"/>
      <c r="E22" s="380"/>
      <c r="F22" s="380"/>
      <c r="G22" s="250"/>
      <c r="H22" s="250"/>
      <c r="I22" s="250"/>
      <c r="J22" s="250"/>
      <c r="K22" s="250"/>
      <c r="L22" s="250"/>
      <c r="M22" s="250"/>
      <c r="N22" s="250"/>
      <c r="O22" s="250"/>
      <c r="P22" s="250"/>
      <c r="Q22" s="306"/>
      <c r="R22" s="212"/>
      <c r="S22" s="627"/>
      <c r="T22" s="628"/>
      <c r="U22" s="628"/>
      <c r="V22" s="628"/>
      <c r="W22" s="628"/>
      <c r="X22" s="628"/>
      <c r="Y22" s="629"/>
      <c r="Z22" s="231"/>
      <c r="AA22" s="229"/>
      <c r="AB22" s="230"/>
      <c r="AC22" s="74"/>
      <c r="AD22" s="74"/>
      <c r="AE22" s="74"/>
      <c r="AF22" s="74"/>
      <c r="AG22" s="74"/>
      <c r="AH22" s="74"/>
      <c r="AI22" s="211"/>
      <c r="AJ22" s="212"/>
      <c r="AK22" s="74"/>
      <c r="AL22" s="660"/>
      <c r="AM22" s="226"/>
      <c r="AN22" s="74"/>
      <c r="AO22" s="231"/>
      <c r="AP22" s="225"/>
      <c r="AQ22" s="468"/>
      <c r="AR22" s="600"/>
      <c r="AS22" s="74"/>
      <c r="AT22" s="299"/>
      <c r="AU22" s="293"/>
      <c r="AV22" s="293"/>
    </row>
    <row r="23" spans="1:52" ht="18" customHeight="1">
      <c r="A23" s="212"/>
      <c r="B23" s="379"/>
      <c r="C23" s="380"/>
      <c r="D23" s="380"/>
      <c r="E23" s="380"/>
      <c r="F23" s="380"/>
      <c r="G23" s="250"/>
      <c r="H23" s="568" t="str">
        <f>"↥↥  "&amp;'Translate&amp;Prices&amp;Logo'!$B$573&amp;"  ↥↥"</f>
        <v>↥↥  Do not change after you make a choice type of glass/mesh  ↥↥</v>
      </c>
      <c r="I23" s="568"/>
      <c r="J23" s="568"/>
      <c r="K23" s="568"/>
      <c r="L23" s="568"/>
      <c r="M23" s="568"/>
      <c r="N23" s="568"/>
      <c r="O23" s="568"/>
      <c r="P23" s="568"/>
      <c r="Q23" s="662"/>
      <c r="R23" s="212"/>
      <c r="S23" s="630"/>
      <c r="T23" s="631"/>
      <c r="U23" s="631"/>
      <c r="V23" s="631"/>
      <c r="W23" s="631"/>
      <c r="X23" s="631"/>
      <c r="Y23" s="632"/>
      <c r="Z23" s="231"/>
      <c r="AA23" s="229"/>
      <c r="AB23" s="230"/>
      <c r="AC23" s="74"/>
      <c r="AD23" s="74"/>
      <c r="AE23" s="74"/>
      <c r="AF23" s="74"/>
      <c r="AG23" s="74"/>
      <c r="AH23" s="74"/>
      <c r="AI23" s="211"/>
      <c r="AJ23" s="212"/>
      <c r="AK23" s="74"/>
      <c r="AL23" s="660"/>
      <c r="AM23" s="617">
        <v>0</v>
      </c>
      <c r="AN23" s="74"/>
      <c r="AO23" s="231"/>
      <c r="AP23" s="225"/>
      <c r="AQ23" s="468"/>
      <c r="AR23" s="600"/>
      <c r="AS23" s="74"/>
      <c r="AT23" s="299"/>
      <c r="AU23" s="293" t="e">
        <f>VLOOKUP(H17,kombinace_2!$BY$3:$BZ$6,2,0)</f>
        <v>#N/A</v>
      </c>
      <c r="AV23" s="293"/>
    </row>
    <row r="24" spans="1:52" ht="18" customHeight="1">
      <c r="A24" s="212"/>
      <c r="B24" s="685" t="str">
        <f>'Translate&amp;Prices&amp;Logo'!$B$562</f>
        <v>Type of foil</v>
      </c>
      <c r="C24" s="686"/>
      <c r="D24" s="686"/>
      <c r="E24" s="686"/>
      <c r="F24" s="686"/>
      <c r="G24" s="249"/>
      <c r="H24" s="607"/>
      <c r="I24" s="607"/>
      <c r="J24" s="607"/>
      <c r="K24" s="607"/>
      <c r="L24" s="607"/>
      <c r="M24" s="607"/>
      <c r="N24" s="607"/>
      <c r="O24" s="607"/>
      <c r="P24" s="607"/>
      <c r="Q24" s="623"/>
      <c r="R24" s="212"/>
      <c r="S24" s="618" t="str">
        <f>'Translate&amp;Prices&amp;Logo'!$B$177</f>
        <v>Notes</v>
      </c>
      <c r="T24" s="618"/>
      <c r="U24" s="618"/>
      <c r="Z24" s="231"/>
      <c r="AA24" s="229"/>
      <c r="AB24" s="230"/>
      <c r="AC24" s="616" t="str">
        <f>'Translate&amp;Prices&amp;Logo'!$B$242</f>
        <v>Distance from edge</v>
      </c>
      <c r="AD24" s="616"/>
      <c r="AE24" s="616"/>
      <c r="AF24" s="616"/>
      <c r="AG24" s="616"/>
      <c r="AH24" s="74"/>
      <c r="AI24" s="211"/>
      <c r="AJ24" s="212"/>
      <c r="AK24" s="74"/>
      <c r="AL24" s="660"/>
      <c r="AM24" s="617"/>
      <c r="AN24" s="74"/>
      <c r="AO24" s="231"/>
      <c r="AP24" s="234"/>
      <c r="AQ24" s="468"/>
      <c r="AR24" s="74"/>
      <c r="AS24" s="486">
        <f>IF(H28&gt;0,AR14,0)</f>
        <v>0</v>
      </c>
      <c r="AT24" s="299"/>
      <c r="AU24" s="293" t="e">
        <f>CONCATENATE(AU23,"_",H19)</f>
        <v>#N/A</v>
      </c>
      <c r="AV24" s="293"/>
      <c r="AW24" s="264">
        <f>IF(AI30&gt;=2600,1.3,IF(AR14&gt;=2600,1.3,1))</f>
        <v>1</v>
      </c>
    </row>
    <row r="25" spans="1:52" ht="18" customHeight="1">
      <c r="A25" s="212"/>
      <c r="B25" s="624" t="str">
        <f>'Translate&amp;Prices&amp;Logo'!$B$625</f>
        <v>Type of glass/mesh</v>
      </c>
      <c r="C25" s="625"/>
      <c r="D25" s="625"/>
      <c r="E25" s="625"/>
      <c r="F25" s="625"/>
      <c r="G25" s="249"/>
      <c r="H25" s="605"/>
      <c r="I25" s="605"/>
      <c r="J25" s="605"/>
      <c r="K25" s="605"/>
      <c r="L25" s="605"/>
      <c r="M25" s="605"/>
      <c r="N25" s="605"/>
      <c r="O25" s="605"/>
      <c r="P25" s="605"/>
      <c r="Q25" s="606"/>
      <c r="R25" s="212"/>
      <c r="S25" s="665"/>
      <c r="T25" s="666"/>
      <c r="U25" s="666"/>
      <c r="V25" s="666"/>
      <c r="W25" s="666"/>
      <c r="X25" s="666"/>
      <c r="Y25" s="667"/>
      <c r="Z25" s="231"/>
      <c r="AA25" s="229"/>
      <c r="AB25" s="230"/>
      <c r="AC25" s="601">
        <v>0</v>
      </c>
      <c r="AD25" s="601"/>
      <c r="AE25" s="226"/>
      <c r="AF25" s="615" t="str">
        <f>('Translate&amp;Prices&amp;Logo'!$B$548)&amp;" "&amp;H26&amp;" "&amp;"mm"</f>
        <v>Pitch  mm</v>
      </c>
      <c r="AG25" s="615"/>
      <c r="AH25" s="615"/>
      <c r="AI25" s="615"/>
      <c r="AJ25" s="615"/>
      <c r="AK25" s="615"/>
      <c r="AL25" s="660"/>
      <c r="AM25" s="617"/>
      <c r="AN25" s="74"/>
      <c r="AO25" s="231"/>
      <c r="AP25" s="234"/>
      <c r="AQ25" s="468"/>
      <c r="AR25" s="74"/>
      <c r="AS25" s="74"/>
      <c r="AT25" s="299"/>
      <c r="AU25" s="293" t="e">
        <f>VLOOKUP(H27,kombinace_2!$BY:$BZ,2,0)</f>
        <v>#N/A</v>
      </c>
      <c r="AV25" s="293"/>
    </row>
    <row r="26" spans="1:52" ht="18" customHeight="1">
      <c r="A26" s="212"/>
      <c r="B26" s="624" t="str">
        <f>'Translate&amp;Prices&amp;Logo'!$B$549</f>
        <v>Handle diameter (mm)</v>
      </c>
      <c r="C26" s="625"/>
      <c r="D26" s="625"/>
      <c r="E26" s="625"/>
      <c r="F26" s="625"/>
      <c r="G26" s="249"/>
      <c r="H26" s="656"/>
      <c r="I26" s="656"/>
      <c r="J26" s="656"/>
      <c r="K26" s="656"/>
      <c r="L26" s="656"/>
      <c r="M26" s="656"/>
      <c r="N26" s="656"/>
      <c r="O26" s="656"/>
      <c r="P26" s="656"/>
      <c r="Q26" s="657"/>
      <c r="R26" s="212"/>
      <c r="S26" s="668"/>
      <c r="T26" s="669"/>
      <c r="U26" s="669"/>
      <c r="V26" s="669"/>
      <c r="W26" s="669"/>
      <c r="X26" s="669"/>
      <c r="Y26" s="670"/>
      <c r="Z26" s="231"/>
      <c r="AA26" s="229"/>
      <c r="AB26" s="230"/>
      <c r="AC26" s="74"/>
      <c r="AD26" s="74"/>
      <c r="AE26" s="74"/>
      <c r="AF26" s="74"/>
      <c r="AG26" s="74"/>
      <c r="AH26" s="74"/>
      <c r="AI26" s="211"/>
      <c r="AJ26" s="622">
        <v>0</v>
      </c>
      <c r="AK26" s="74"/>
      <c r="AL26" s="74"/>
      <c r="AM26" s="74"/>
      <c r="AN26" s="74"/>
      <c r="AO26" s="231"/>
      <c r="AP26" s="225"/>
      <c r="AQ26" s="468"/>
      <c r="AR26" s="74"/>
      <c r="AS26" s="74"/>
      <c r="AT26" s="299"/>
    </row>
    <row r="27" spans="1:52" ht="18" customHeight="1">
      <c r="A27" s="212"/>
      <c r="B27" s="624" t="str">
        <f>'Translate&amp;Prices&amp;Logo'!$B$550</f>
        <v>Handle position</v>
      </c>
      <c r="C27" s="625"/>
      <c r="D27" s="625"/>
      <c r="E27" s="625"/>
      <c r="F27" s="625"/>
      <c r="G27" s="249"/>
      <c r="H27" s="605"/>
      <c r="I27" s="605"/>
      <c r="J27" s="605"/>
      <c r="K27" s="605"/>
      <c r="L27" s="605"/>
      <c r="M27" s="605"/>
      <c r="N27" s="605"/>
      <c r="O27" s="605"/>
      <c r="P27" s="605"/>
      <c r="Q27" s="606"/>
      <c r="R27" s="212"/>
      <c r="S27" s="668"/>
      <c r="T27" s="669"/>
      <c r="U27" s="669"/>
      <c r="V27" s="669"/>
      <c r="W27" s="669"/>
      <c r="X27" s="669"/>
      <c r="Y27" s="670"/>
      <c r="Z27" s="231"/>
      <c r="AA27" s="219"/>
      <c r="AB27" s="235"/>
      <c r="AC27" s="236"/>
      <c r="AD27" s="236"/>
      <c r="AE27" s="236"/>
      <c r="AF27" s="236"/>
      <c r="AG27" s="236"/>
      <c r="AH27" s="237"/>
      <c r="AI27" s="238"/>
      <c r="AJ27" s="622"/>
      <c r="AK27" s="236"/>
      <c r="AL27" s="236"/>
      <c r="AM27" s="236"/>
      <c r="AN27" s="236"/>
      <c r="AO27" s="239"/>
      <c r="AP27" s="225"/>
      <c r="AQ27" s="468"/>
      <c r="AR27" s="74"/>
      <c r="AS27" s="74"/>
      <c r="AT27" s="299"/>
    </row>
    <row r="28" spans="1:52" ht="18" customHeight="1">
      <c r="A28" s="212"/>
      <c r="B28" s="682" t="str">
        <f>('Translate&amp;Prices&amp;Logo'!$B$174)</f>
        <v>Quantity</v>
      </c>
      <c r="C28" s="683"/>
      <c r="D28" s="683"/>
      <c r="E28" s="683"/>
      <c r="F28" s="683"/>
      <c r="G28" s="249"/>
      <c r="H28" s="642"/>
      <c r="I28" s="642"/>
      <c r="J28" s="642"/>
      <c r="K28" s="642"/>
      <c r="L28" s="642"/>
      <c r="M28" s="642"/>
      <c r="N28" s="642"/>
      <c r="O28" s="642"/>
      <c r="P28" s="642"/>
      <c r="Q28" s="643"/>
      <c r="R28" s="212"/>
      <c r="S28" s="668"/>
      <c r="T28" s="669"/>
      <c r="U28" s="669"/>
      <c r="V28" s="669"/>
      <c r="W28" s="669"/>
      <c r="X28" s="669"/>
      <c r="Y28" s="670"/>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690" t="str">
        <f>IF(Hlavní!$V$39=3,"",'Translate&amp;Prices&amp;Logo'!$B$225&amp;" -&gt; "&amp; 'Translate&amp;Prices&amp;Logo'!B241&amp;":")</f>
        <v>Supply including specified fittings -&gt; select from list:</v>
      </c>
      <c r="E29" s="690"/>
      <c r="F29" s="690"/>
      <c r="G29" s="690"/>
      <c r="H29" s="690"/>
      <c r="I29" s="690"/>
      <c r="J29" s="690"/>
      <c r="K29" s="690"/>
      <c r="L29" s="690"/>
      <c r="M29" s="690"/>
      <c r="N29" s="690"/>
      <c r="O29" s="690"/>
      <c r="P29" s="688"/>
      <c r="Q29" s="689"/>
      <c r="R29" s="212"/>
      <c r="S29" s="668"/>
      <c r="T29" s="669"/>
      <c r="U29" s="669"/>
      <c r="V29" s="669"/>
      <c r="W29" s="669"/>
      <c r="X29" s="669"/>
      <c r="Y29" s="670"/>
      <c r="Z29" s="74"/>
      <c r="AA29" s="265" t="e">
        <f>VLOOKUP(H14,kombinace_2!$DN$7:$DO$24,2,0)</f>
        <v>#N/A</v>
      </c>
      <c r="AB29" s="659">
        <f>IF(kombinace_2!FC2=TRUE,AB4,IF(H12='závěsy dle výklopu'!BQ2,'Translate&amp;Prices&amp;Logo'!B577,0))</f>
        <v>0</v>
      </c>
      <c r="AC29" s="659"/>
      <c r="AD29" s="659"/>
      <c r="AE29" s="659"/>
      <c r="AF29" s="659"/>
      <c r="AG29" s="659"/>
      <c r="AH29" s="659"/>
      <c r="AI29" s="659"/>
      <c r="AJ29" s="659"/>
      <c r="AK29" s="659"/>
      <c r="AL29" s="659"/>
      <c r="AM29" s="659"/>
      <c r="AN29" s="659"/>
      <c r="AO29" s="659"/>
      <c r="AP29" s="265"/>
      <c r="AQ29" s="74"/>
      <c r="AR29" s="74"/>
      <c r="AS29" s="74"/>
      <c r="AT29" s="299"/>
    </row>
    <row r="30" spans="1:52" ht="23.25" customHeight="1">
      <c r="A30" s="212"/>
      <c r="B30" s="678" t="str">
        <f>'Translate&amp;Prices&amp;Logo'!$B$178</f>
        <v>Total price of frames</v>
      </c>
      <c r="C30" s="679"/>
      <c r="D30" s="679"/>
      <c r="E30" s="679"/>
      <c r="F30" s="679"/>
      <c r="G30" s="679"/>
      <c r="H30" s="679"/>
      <c r="I30" s="679"/>
      <c r="J30" s="679"/>
      <c r="K30" s="553"/>
      <c r="L30" s="654">
        <f>IF(OR((AI30&gt;AI43),(AR14&gt;AJ43)),"",((((AT11+AT13+AT15+AT17+AT33+AT35+AT37)*AT43)*(1-(Zakaznik!K21/100)))*AW24))</f>
        <v>0</v>
      </c>
      <c r="M30" s="654"/>
      <c r="N30" s="654"/>
      <c r="O30" s="654"/>
      <c r="P30" s="674" t="str">
        <f>VLOOKUP('Translate&amp;Prices&amp;Logo'!D1,'závěsy dle výklopu'!A204:B209,2,0)</f>
        <v>€</v>
      </c>
      <c r="Q30" s="675"/>
      <c r="R30" s="212"/>
      <c r="S30" s="668"/>
      <c r="T30" s="669"/>
      <c r="U30" s="669"/>
      <c r="V30" s="669"/>
      <c r="W30" s="669"/>
      <c r="X30" s="669"/>
      <c r="Y30" s="670"/>
      <c r="Z30" s="74"/>
      <c r="AA30" s="74"/>
      <c r="AB30" s="212"/>
      <c r="AC30" s="74"/>
      <c r="AD30" s="74"/>
      <c r="AE30" s="74"/>
      <c r="AF30" s="658" t="str">
        <f>'Translate&amp;Prices&amp;Logo'!$B$175</f>
        <v>Width</v>
      </c>
      <c r="AG30" s="658"/>
      <c r="AH30" s="658"/>
      <c r="AI30" s="653"/>
      <c r="AJ30" s="653"/>
      <c r="AK30" s="653"/>
      <c r="AL30" s="74"/>
      <c r="AM30" s="74"/>
      <c r="AN30" s="74"/>
      <c r="AO30" s="74"/>
      <c r="AP30" s="74"/>
      <c r="AQ30" s="74"/>
      <c r="AR30" s="74"/>
      <c r="AS30" s="74"/>
      <c r="AT30" s="299"/>
      <c r="AU30" s="291" t="e">
        <f>HLOOKUP("_Úzký_dolny_K12",kombinace_2!CV2:CW19,3,FALSE)</f>
        <v>#N/A</v>
      </c>
    </row>
    <row r="31" spans="1:52" ht="14.1" customHeight="1" thickBot="1">
      <c r="A31" s="212"/>
      <c r="B31" s="680"/>
      <c r="C31" s="681"/>
      <c r="D31" s="681"/>
      <c r="E31" s="681"/>
      <c r="F31" s="681"/>
      <c r="G31" s="681"/>
      <c r="H31" s="681"/>
      <c r="I31" s="681"/>
      <c r="J31" s="681"/>
      <c r="K31" s="684"/>
      <c r="L31" s="655"/>
      <c r="M31" s="655"/>
      <c r="N31" s="655"/>
      <c r="O31" s="655"/>
      <c r="P31" s="676"/>
      <c r="Q31" s="677"/>
      <c r="R31" s="212"/>
      <c r="S31" s="671"/>
      <c r="T31" s="672"/>
      <c r="U31" s="672"/>
      <c r="V31" s="672"/>
      <c r="W31" s="672"/>
      <c r="X31" s="672"/>
      <c r="Y31" s="673"/>
      <c r="Z31" s="74"/>
      <c r="AA31" s="254"/>
      <c r="AB31" s="245"/>
      <c r="AC31" s="245"/>
      <c r="AD31" s="254"/>
      <c r="AE31" s="254"/>
      <c r="AF31" s="254"/>
      <c r="AG31" s="254"/>
      <c r="AH31" s="254"/>
      <c r="AI31" s="439"/>
      <c r="AJ31" s="254"/>
      <c r="AK31" s="254"/>
      <c r="AL31" s="254"/>
      <c r="AM31" s="254"/>
      <c r="AN31" s="254"/>
      <c r="AO31" s="599" t="str">
        <f>'Translate&amp;Prices&amp;Logo'!$B$567</f>
        <v>Summary</v>
      </c>
      <c r="AP31" s="599"/>
      <c r="AQ31" s="599"/>
      <c r="AR31" s="599"/>
      <c r="AS31" s="74"/>
      <c r="AT31" s="299"/>
      <c r="AU31" s="291" t="e">
        <f>AD44</f>
        <v>#N/A</v>
      </c>
    </row>
    <row r="32" spans="1:52" ht="17.25" customHeight="1">
      <c r="A32" s="212"/>
      <c r="B32" s="641" t="str">
        <f>'Translate&amp;Prices&amp;Logo'!$B$171</f>
        <v>Prices shown are VAT-free and do not include price of the fittings required!</v>
      </c>
      <c r="C32" s="641"/>
      <c r="D32" s="641"/>
      <c r="E32" s="641"/>
      <c r="F32" s="641"/>
      <c r="G32" s="641"/>
      <c r="H32" s="641"/>
      <c r="I32" s="641"/>
      <c r="J32" s="641"/>
      <c r="K32" s="641"/>
      <c r="L32" s="641"/>
      <c r="M32" s="641"/>
      <c r="N32" s="641"/>
      <c r="O32" s="641"/>
      <c r="P32" s="641"/>
      <c r="Q32" s="641"/>
      <c r="R32" s="212"/>
      <c r="S32" s="74"/>
      <c r="T32" s="74"/>
      <c r="U32" s="74"/>
      <c r="V32" s="74"/>
      <c r="W32" s="74"/>
      <c r="X32" s="74"/>
      <c r="Y32" s="74"/>
      <c r="Z32" s="74"/>
      <c r="AA32" s="74"/>
      <c r="AB32" s="212"/>
      <c r="AC32" s="74"/>
      <c r="AD32" s="74"/>
      <c r="AE32" s="74"/>
      <c r="AF32" s="74"/>
      <c r="AG32" s="74"/>
      <c r="AH32" s="74"/>
      <c r="AI32" s="74"/>
      <c r="AJ32" s="74"/>
      <c r="AK32" s="74"/>
      <c r="AL32" s="74"/>
      <c r="AM32" s="74"/>
      <c r="AN32" s="74"/>
      <c r="AO32" s="599"/>
      <c r="AP32" s="599"/>
      <c r="AQ32" s="599"/>
      <c r="AR32" s="599"/>
      <c r="AS32" s="212"/>
      <c r="AT32" s="299"/>
    </row>
    <row r="33" spans="1:58" ht="34.5" customHeight="1">
      <c r="A33" s="212"/>
      <c r="B33" s="664" t="str">
        <f>'Translate&amp;Prices&amp;Logo'!$B$641</f>
        <v>Frames without glass are delivered disassembled.</v>
      </c>
      <c r="C33" s="664"/>
      <c r="D33" s="664"/>
      <c r="E33" s="664"/>
      <c r="F33" s="664"/>
      <c r="G33" s="664"/>
      <c r="H33" s="664"/>
      <c r="I33" s="664"/>
      <c r="J33" s="664"/>
      <c r="K33" s="664"/>
      <c r="L33" s="664" t="str">
        <f>IF(OR((AI30&gt;AI43),(AR14&gt;AJ43)),'Translate&amp;Prices&amp;Logo'!B691,"")</f>
        <v/>
      </c>
      <c r="M33" s="664"/>
      <c r="N33" s="664"/>
      <c r="O33" s="664"/>
      <c r="P33" s="664"/>
      <c r="Q33" s="664"/>
      <c r="R33" s="664"/>
      <c r="S33" s="664"/>
      <c r="T33" s="408"/>
      <c r="U33" s="408"/>
      <c r="V33" s="408"/>
      <c r="W33" s="408"/>
      <c r="X33" s="408"/>
      <c r="Y33" s="408"/>
      <c r="Z33" s="408"/>
      <c r="AA33" s="408"/>
      <c r="AB33" s="408"/>
      <c r="AC33" s="408"/>
      <c r="AD33" s="74"/>
      <c r="AE33" s="74"/>
      <c r="AF33" s="301"/>
      <c r="AG33" s="74"/>
      <c r="AJ33" s="74"/>
      <c r="AK33" s="74"/>
      <c r="AL33" s="74"/>
      <c r="AM33" s="74"/>
      <c r="AN33" s="74"/>
      <c r="AO33" s="74"/>
      <c r="AP33" s="74"/>
      <c r="AQ33" s="74"/>
      <c r="AR33" s="74"/>
      <c r="AS33" s="212"/>
      <c r="AT33" s="299">
        <f>IF(kombinace_2!V1=2,((AR14/1000)*(AI30/1000))*'Translate&amp;Prices&amp;Logo'!C94,0)</f>
        <v>0</v>
      </c>
    </row>
    <row r="34" spans="1:58" s="301" customFormat="1" ht="36.75" customHeight="1">
      <c r="A34" s="302"/>
      <c r="B34" s="664"/>
      <c r="C34" s="664"/>
      <c r="D34" s="664"/>
      <c r="E34" s="664"/>
      <c r="F34" s="664"/>
      <c r="G34" s="664"/>
      <c r="H34" s="664"/>
      <c r="I34" s="664"/>
      <c r="J34" s="664"/>
      <c r="K34" s="664"/>
      <c r="L34" s="664"/>
      <c r="M34" s="664"/>
      <c r="N34" s="664"/>
      <c r="O34" s="664"/>
      <c r="P34" s="664"/>
      <c r="Q34" s="664"/>
      <c r="R34" s="664"/>
      <c r="S34" s="664"/>
      <c r="V34" s="687"/>
      <c r="W34" s="687"/>
      <c r="AS34" s="300"/>
      <c r="AT34" s="300"/>
      <c r="AW34" s="408"/>
      <c r="AX34" s="408"/>
      <c r="AY34" s="408"/>
      <c r="AZ34" s="408"/>
      <c r="BA34" s="408"/>
      <c r="BB34" s="408"/>
      <c r="BC34" s="408"/>
      <c r="BD34" s="408"/>
      <c r="BE34" s="408"/>
      <c r="BF34" s="408"/>
    </row>
    <row r="35" spans="1:58" ht="15" hidden="1" customHeight="1">
      <c r="B35" s="264"/>
      <c r="R35" s="293"/>
      <c r="S35" s="293"/>
      <c r="T35" s="302"/>
      <c r="AD35" s="264"/>
      <c r="AE35" s="264"/>
      <c r="AN35" s="301"/>
      <c r="AO35" s="301"/>
      <c r="AP35" s="301"/>
      <c r="AQ35" s="301"/>
      <c r="AS35" s="299"/>
      <c r="AT35" s="299">
        <f>IF(kombinace_2!$V$1=3,IFERROR(((VLOOKUP(H24,'Translate&amp;Prices&amp;Logo'!B91:C93,2,0))*(AR14/1000)),0),0)</f>
        <v>0</v>
      </c>
      <c r="AV35" s="431" t="s">
        <v>4597</v>
      </c>
      <c r="AW35" s="432"/>
      <c r="AX35" s="432"/>
      <c r="AY35" s="408"/>
    </row>
    <row r="36" spans="1:58" s="310" customFormat="1" ht="18.600000000000001" hidden="1" customHeight="1">
      <c r="A36" s="302"/>
      <c r="B36" s="310" t="str" cm="1">
        <f t="array" ref="B36:B91">IF(kombinace_2!FC2=TRUE,_profily_síťka,IF(kombinace_2!H1=TRUE,_kombinovane_profily,_vše_profily))</f>
        <v>BRW (elox.) - maximum profile length 2500 mm</v>
      </c>
      <c r="L36" s="310" t="str">
        <f t="array" ref="L36:M36">IF(kombinace_2!H1=TRUE,'závěsy dle výklopu'!$BQ$2:$BR$2,
IF(H8=kombinace_2!A34,'závěsy dle výklopu'!$BQ$2,IF(H8=kombinace_2!A35,'závěsy dle výklopu'!$BQ$2,IF(H8=kombinace_2!A55,'závěsy dle výklopu'!$BQ$2,IF(H8=kombinace_2!A56,'závěsy dle výklopu'!$BQ$2,IF(H8=kombinace_2!A57,'závěsy dle výklopu'!$BQ$2,IF(H8=kombinace_2!A58,'závěsy dle výklopu'!$BQ$2,'závěsy dle výklopu'!$BQ$2:$BR$2)))))))</f>
        <v>Hinges</v>
      </c>
      <c r="M36" s="310" t="str">
        <v>Lifts</v>
      </c>
      <c r="P36" s="310" t="str" cm="1">
        <f t="array" ref="P36:P38">IF(H13=kombinace_2!BQ11,kombinace_2!$DN$2,kombinace_2!$DN$2:$DN$4)</f>
        <v>Overlay</v>
      </c>
      <c r="T36" s="310">
        <f t="array" aca="1" ref="T36:T44" ca="1">IF(H13=kombinace_2!BQ11,
  kombinace_2!$FA$2:$FA$9,
  IF(AND(OR(H8=kombinace_2!A34,H8=kombinace_2!A35),H13='závěsy dle výklopu'!BQ4),
    INDIRECT(VLOOKUP(AD42&amp;"_Rocca",kombinace_2!$ER$1:$ES$108,2,0)),
    IF($AU$9=2,
      INDIRECT(VLOOKUP(AD42,kombinace_2!$ER$1:$ES$108,2,0)),
      IF($AU$9=3,
        INDIRECT(VLOOKUP($T$47,kombinace_2!$AA$1:$AB$100,2,0)),
      $Y$48)
    )
  )
)</f>
        <v>0</v>
      </c>
      <c r="AF36" s="310" t="e">
        <f>HLOOKUP($AD$44,'závěsy dle výklopu'!$CG$4:$EZ$10,2,0)</f>
        <v>#N/A</v>
      </c>
      <c r="AJ36" s="310">
        <f t="array" ref="AJ36:AJ40">IF(AM19&lt;2100,kombinace_2!BY8:BY12,kombinace_2!BY8:BY12)</f>
        <v>2</v>
      </c>
      <c r="AW36" s="408"/>
      <c r="AX36" s="408"/>
      <c r="AY36" s="408"/>
    </row>
    <row r="37" spans="1:58" s="310" customFormat="1" ht="15" hidden="1" customHeight="1">
      <c r="A37" s="293"/>
      <c r="B37" s="310" t="str">
        <v>BRW white matt RAL 9003 - maximum profile length 2500 mm</v>
      </c>
      <c r="P37" s="310" t="e">
        <v>#N/A</v>
      </c>
      <c r="T37" s="310">
        <f ca="1"/>
        <v>0</v>
      </c>
      <c r="W37" s="310" t="str" cm="1">
        <f t="array" ref="W37:W38">IF(Hlavní!$V$39=3,"",'Translate&amp;Prices&amp;Logo'!B556:B557)</f>
        <v>Yes</v>
      </c>
      <c r="AD37" s="311"/>
      <c r="AF37" s="310" t="e">
        <f>HLOOKUP($AD$44,'závěsy dle výklopu'!$CG$4:$EZ$10,3,0)</f>
        <v>#N/A</v>
      </c>
      <c r="AJ37" s="310">
        <v>3</v>
      </c>
      <c r="AS37" s="310" t="s">
        <v>5</v>
      </c>
      <c r="AT37" s="310">
        <f>IFERROR((VLOOKUP(H25,'Translate&amp;Prices&amp;Logo'!B99:C167,2,0))*((AI30/1000)*(AR14/1000)),0)</f>
        <v>0</v>
      </c>
      <c r="AW37" s="408"/>
      <c r="AX37" s="408"/>
      <c r="AY37" s="408"/>
    </row>
    <row r="38" spans="1:58" s="310" customFormat="1" ht="18.600000000000001" hidden="1" customHeight="1">
      <c r="A38" s="293"/>
      <c r="B38" s="310" t="str">
        <v>BRW white gloss RAL 9003 - maximum profile length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e">
        <v>#N/A</v>
      </c>
      <c r="T38" s="310">
        <f ca="1"/>
        <v>0</v>
      </c>
      <c r="W38" s="310" t="str">
        <v>No</v>
      </c>
      <c r="AD38" s="311"/>
      <c r="AE38" s="310" t="e">
        <f t="shared" ref="AE38:AE40" si="0">AF38</f>
        <v>#N/A</v>
      </c>
      <c r="AF38" s="310" t="e">
        <f>HLOOKUP($AD$44,'závěsy dle výklopu'!$CG$4:$EZ$10,4,0)</f>
        <v>#N/A</v>
      </c>
      <c r="AJ38" s="310">
        <v>4</v>
      </c>
      <c r="AW38" s="408"/>
      <c r="AX38" s="408"/>
      <c r="AY38" s="408"/>
    </row>
    <row r="39" spans="1:58" s="310" customFormat="1" ht="15" hidden="1" customHeight="1">
      <c r="A39" s="293"/>
      <c r="B39" s="310" t="str">
        <v>BRW brushed - maximum profile length 2500 mm</v>
      </c>
      <c r="L39" s="310" t="str">
        <v>ITALIANA ferramenta</v>
      </c>
      <c r="T39" s="310">
        <f ca="1"/>
        <v>0</v>
      </c>
      <c r="AD39" s="311"/>
      <c r="AE39" s="310" t="e">
        <f t="shared" si="0"/>
        <v>#N/A</v>
      </c>
      <c r="AF39" s="310" t="e">
        <f>HLOOKUP($AD$44,'závěsy dle výklopu'!$CG$4:$EZ$10,5,0)</f>
        <v>#N/A</v>
      </c>
      <c r="AJ39" s="310">
        <v>5</v>
      </c>
      <c r="AS39" s="310" t="s">
        <v>2162</v>
      </c>
      <c r="AW39" s="408"/>
      <c r="AX39" s="408"/>
      <c r="AY39" s="408"/>
    </row>
    <row r="40" spans="1:58" s="310" customFormat="1" ht="18.600000000000001" hidden="1" customHeight="1">
      <c r="A40" s="293"/>
      <c r="B40" s="310" t="str">
        <v>BRW black matt - maximum profile length 2500 mm</v>
      </c>
      <c r="L40" s="310" t="str">
        <v>StrongLift</v>
      </c>
      <c r="T40" s="310">
        <f ca="1"/>
        <v>0</v>
      </c>
      <c r="AE40" s="310" t="e">
        <f t="shared" si="0"/>
        <v>#N/A</v>
      </c>
      <c r="AF40" s="310" t="e">
        <f>HLOOKUP($AD$44,'závěsy dle výklopu'!$CG$4:$EZ$10,6,0)</f>
        <v>#N/A</v>
      </c>
      <c r="AJ40" s="310">
        <v>6</v>
      </c>
      <c r="AW40" s="408"/>
      <c r="AX40" s="408"/>
      <c r="AY40" s="408"/>
    </row>
    <row r="41" spans="1:58" s="310" customFormat="1" ht="15" hidden="1" customHeight="1">
      <c r="A41" s="293"/>
      <c r="B41" s="310" t="str">
        <v>BRW black brushed - maximum profile length 2500 mm</v>
      </c>
      <c r="L41" s="310" t="str">
        <v xml:space="preserve">Kesseböhmer </v>
      </c>
      <c r="T41" s="310">
        <f ca="1"/>
        <v>0</v>
      </c>
      <c r="U41" s="310">
        <f>IF(Hlavní!$V$39=3,1,2)</f>
        <v>2</v>
      </c>
      <c r="AE41" s="310">
        <f>AF41</f>
        <v>0</v>
      </c>
      <c r="AH41" s="434"/>
      <c r="AI41" s="435" t="s">
        <v>4588</v>
      </c>
      <c r="AJ41" s="435" t="s">
        <v>4589</v>
      </c>
      <c r="AS41" s="310" t="s">
        <v>2163</v>
      </c>
      <c r="AW41" s="408"/>
      <c r="AX41" s="408"/>
      <c r="AY41" s="408"/>
    </row>
    <row r="42" spans="1:58" s="310" customFormat="1" ht="18.600000000000001" hidden="1" customHeight="1">
      <c r="A42" s="293"/>
      <c r="B42" s="310" t="str">
        <v>BRW Light Stainless Steel (ACIER GRATA) - maximum profile length 2500 mm</v>
      </c>
      <c r="L42" s="310" t="str">
        <v>Hettich</v>
      </c>
      <c r="T42" s="310">
        <f ca="1"/>
        <v>0</v>
      </c>
      <c r="AD42" s="310" t="e">
        <f>CONCATENATE("_",AV7,"_",H13,"_",AA29)</f>
        <v>#N/A</v>
      </c>
      <c r="AG42" s="433">
        <v>42</v>
      </c>
      <c r="AH42" s="434"/>
      <c r="AI42" s="436"/>
      <c r="AJ42" s="436"/>
      <c r="AW42" s="408"/>
      <c r="AX42" s="408"/>
      <c r="AY42" s="408"/>
    </row>
    <row r="43" spans="1:58" s="310" customFormat="1" ht="15" hidden="1" customHeight="1">
      <c r="A43" s="293"/>
      <c r="B43" s="310" t="str">
        <v>BRW anthracite RAL 7021 - maximum profile length 2500 mm</v>
      </c>
      <c r="T43" s="310">
        <f ca="1"/>
        <v>0</v>
      </c>
      <c r="AG43" s="433">
        <v>43</v>
      </c>
      <c r="AH43" s="434"/>
      <c r="AI43" s="437">
        <f>IF(H12='Translate&amp;Prices&amp;Logo'!B181,VLOOKUP(H8,'Translate&amp;Prices&amp;Logo'!B:V,21,0),AJ43)</f>
        <v>0</v>
      </c>
      <c r="AJ43" s="437">
        <f>VLOOKUP(H8,'Translate&amp;Prices&amp;Logo'!B:U,20,0)</f>
        <v>0</v>
      </c>
      <c r="AK43" s="310" t="s">
        <v>4587</v>
      </c>
      <c r="AS43" s="310" t="s">
        <v>2164</v>
      </c>
      <c r="AT43" s="310">
        <f>H28</f>
        <v>0</v>
      </c>
      <c r="AW43" s="408"/>
      <c r="AX43" s="408"/>
      <c r="AY43" s="408"/>
    </row>
    <row r="44" spans="1:58" s="310" customFormat="1" ht="18.600000000000001" hidden="1" customHeight="1">
      <c r="A44" s="293"/>
      <c r="B44" s="310" t="str">
        <v>BRW champagne - maximum profile length 2500 mm</v>
      </c>
      <c r="M44" s="310" t="s">
        <v>3532</v>
      </c>
      <c r="N44" s="310" t="s">
        <v>1981</v>
      </c>
      <c r="T44" s="310">
        <f ca="1"/>
        <v>0</v>
      </c>
      <c r="AD44" s="310" t="e">
        <f>CONCATENATE("_",AV7,"_",H15)</f>
        <v>#N/A</v>
      </c>
      <c r="AG44" s="433">
        <v>44</v>
      </c>
      <c r="AH44" s="434"/>
      <c r="AI44" s="438"/>
      <c r="AJ44" s="438"/>
      <c r="AW44" s="408"/>
      <c r="AX44" s="408"/>
      <c r="AY44" s="408"/>
    </row>
    <row r="45" spans="1:58" s="310" customFormat="1" ht="14.85" hidden="1" customHeight="1">
      <c r="A45" s="293"/>
      <c r="B45" s="310" t="str">
        <v>BRW champagne light - maximum profile length 2500 mm</v>
      </c>
      <c r="M45" s="310" t="s">
        <v>3533</v>
      </c>
      <c r="N45" s="310" t="s">
        <v>1981</v>
      </c>
      <c r="AS45" s="286"/>
      <c r="AW45" s="408"/>
      <c r="AX45" s="408"/>
      <c r="AY45" s="408"/>
    </row>
    <row r="46" spans="1:58" s="310" customFormat="1" ht="14.85" hidden="1" customHeight="1">
      <c r="A46" s="293"/>
      <c r="B46" s="310" t="str">
        <v>BRW brown - maximum profile length 2500 mm</v>
      </c>
      <c r="M46" s="310" t="s">
        <v>5434</v>
      </c>
    </row>
    <row r="47" spans="1:58" s="310" customFormat="1" ht="14.85" hidden="1" customHeight="1">
      <c r="A47" s="293"/>
      <c r="B47" s="310" t="str">
        <v>BRW dark stainless steel - maximum profile length 2500 mm</v>
      </c>
      <c r="M47" s="310" t="s">
        <v>5435</v>
      </c>
      <c r="T47" s="310" t="str">
        <f>CONCATENATE(H13,"_",VLOOKUP(kombinace_2!H1,kombinace_2!$J$14:$K$15,2,0))</f>
        <v>_2</v>
      </c>
      <c r="AI47" s="264"/>
      <c r="AJ47" s="430"/>
      <c r="AN47" s="595"/>
      <c r="AO47" s="595"/>
      <c r="AP47" s="595"/>
      <c r="AQ47" s="595"/>
    </row>
    <row r="48" spans="1:58" s="310" customFormat="1" ht="14.85" hidden="1" customHeight="1">
      <c r="A48" s="293"/>
      <c r="B48" s="310" t="str">
        <v>BRW gold - maximum profile length 2500 mm</v>
      </c>
      <c r="T48" s="310" t="e">
        <f>VLOOKUP(AD42,kombinace_2!ER:ES,2,0)</f>
        <v>#N/A</v>
      </c>
      <c r="AS48"/>
      <c r="AT48"/>
    </row>
    <row r="49" spans="1:46" s="310" customFormat="1" ht="14.85" hidden="1" customHeight="1">
      <c r="A49" s="293"/>
      <c r="B49" s="310" t="str">
        <v>BRW arany csiszolt - maximum profile length 2500 mm</v>
      </c>
      <c r="AS49"/>
      <c r="AT49"/>
    </row>
    <row r="50" spans="1:46" s="310" customFormat="1" ht="14.85" hidden="1" customHeight="1">
      <c r="A50" s="293"/>
      <c r="B50" s="310" t="str">
        <v>Corleone (elox.) - maximum profile length 1500 mm</v>
      </c>
      <c r="AS50"/>
      <c r="AT50"/>
    </row>
    <row r="51" spans="1:46" s="310" customFormat="1" ht="14.85" hidden="1" customHeight="1">
      <c r="A51" s="293"/>
      <c r="B51" s="310" t="str">
        <v>Corleone black matt - maximum profile length 1500 mm</v>
      </c>
      <c r="AS51"/>
      <c r="AT51"/>
    </row>
    <row r="52" spans="1:46" s="310" customFormat="1" ht="14.85" hidden="1" customHeight="1">
      <c r="A52" s="293"/>
      <c r="B52" s="310" t="str">
        <v>ASTI black matt - maximum profile length 2150 mm</v>
      </c>
      <c r="AS52"/>
      <c r="AT52"/>
    </row>
    <row r="53" spans="1:46" s="310" customFormat="1" ht="14.85" hidden="1" customHeight="1">
      <c r="A53" s="293"/>
      <c r="B53" s="310" t="str">
        <v>ASTI anthracite RAL 7021 matt - maximum profile length 2500 mm</v>
      </c>
      <c r="AS53"/>
      <c r="AT53"/>
    </row>
    <row r="54" spans="1:46" s="310" customFormat="1" ht="14.85" hidden="1" customHeight="1">
      <c r="A54" s="293"/>
      <c r="B54" s="310" t="str">
        <v>Imola (elox.) - maximum profile length 2500 mm</v>
      </c>
      <c r="K54" s="310" t="str">
        <f t="array" ref="K54:K58">IF(OR($H$15=kombinace_2!AB40,$H$15=kombinace_2!AB7,$H$15=kombinace_2!AB15,$H$15=kombinace_2!AB20,$H$15=kombinace_2!AB21,$H$15=kombinace_2!AB22),'Translate&amp;Prices&amp;Logo'!$B$229:$B$231,IF($H$15=kombinace_2!AB41,'Translate&amp;Prices&amp;Logo'!$B$229:$B$231,'Translate&amp;Prices&amp;Logo'!$B$233:$B$237))</f>
        <v>Narrow ALU Frame</v>
      </c>
      <c r="Q54" s="310" t="str">
        <f>'Translate&amp;Prices&amp;Logo'!B227</f>
        <v>Top</v>
      </c>
      <c r="T54" s="310" t="str">
        <f t="array" ref="T54:T56">kombinace_2!$EN$3:$EN$5</f>
        <v>Not treated</v>
      </c>
      <c r="U54" s="310">
        <v>1</v>
      </c>
      <c r="X54" s="310" t="str">
        <f t="array" ref="X54:X56">kombinace_2!$X$3:$X$5</f>
        <v>Transparent</v>
      </c>
      <c r="AD54" s="310" t="e">
        <f t="array" aca="1" ref="AD54:AD97" ca="1">IF(kombinace_2!FC2=FALSE,
IF(OR(H8=kombinace_2!A17,H8=kombinace_2!A18,H8=kombinace_2!A25,H8=kombinace_2!A26,H8=kombinace_2!A27,H8=kombinace_2!A28),_corleone,INDIRECT(kombinace_2!S1)),
IF(kombinace_2!FC2=TRUE,INDIRECT(VLOOKUP(Ram_1!H8,'závěsy dle výklopu'!A81:B92,2,0)),0))</f>
        <v>#N/A</v>
      </c>
      <c r="AS54"/>
      <c r="AT54"/>
    </row>
    <row r="55" spans="1:46" s="310" customFormat="1" ht="14.85" hidden="1" customHeight="1">
      <c r="A55" s="293"/>
      <c r="B55" s="310" t="str">
        <v>Imola black matt - maximum profile length 2500 mm</v>
      </c>
      <c r="K55" s="310" t="str">
        <v>Wide ALU Frame</v>
      </c>
      <c r="Q55" s="310" t="str">
        <f>'Translate&amp;Prices&amp;Logo'!B228</f>
        <v>Bottom</v>
      </c>
      <c r="T55" s="310" t="str">
        <v>Harded (delivery is 4 weeks)</v>
      </c>
      <c r="U55" s="310">
        <v>2</v>
      </c>
      <c r="X55" s="310" t="str">
        <v>White</v>
      </c>
      <c r="AD55" s="310" t="e">
        <f ca="1"/>
        <v>#N/A</v>
      </c>
      <c r="AS55"/>
      <c r="AT55"/>
    </row>
    <row r="56" spans="1:46" s="310" customFormat="1" ht="14.85" hidden="1" customHeight="1">
      <c r="A56" s="293"/>
      <c r="B56" s="310" t="str">
        <v>Imola white matt RAL 9003 - maximum profile length 2500 mm</v>
      </c>
      <c r="K56" s="310" t="str">
        <v xml:space="preserve">MDF 16 mm </v>
      </c>
      <c r="Q56" s="310" t="str">
        <f>'Translate&amp;Prices&amp;Logo'!B229</f>
        <v>Right</v>
      </c>
      <c r="T56" s="310" t="str">
        <v>Foil</v>
      </c>
      <c r="U56" s="310">
        <v>3</v>
      </c>
      <c r="X56" s="310" t="str">
        <v>Black</v>
      </c>
      <c r="AD56" s="310" t="e">
        <f ca="1"/>
        <v>#N/A</v>
      </c>
    </row>
    <row r="57" spans="1:46" s="310" customFormat="1" ht="14.85" hidden="1" customHeight="1">
      <c r="A57" s="293"/>
      <c r="B57" s="310" t="str">
        <v>Imola gold - maximum profile length 2150 mm</v>
      </c>
      <c r="K57" s="310" t="str">
        <v xml:space="preserve">MDF 18 mm </v>
      </c>
      <c r="Q57" s="310" t="str">
        <f>'Translate&amp;Prices&amp;Logo'!B230</f>
        <v>Left</v>
      </c>
      <c r="AD57" s="310" t="e">
        <f ca="1"/>
        <v>#N/A</v>
      </c>
    </row>
    <row r="58" spans="1:46" s="310" customFormat="1" ht="14.85" hidden="1" customHeight="1">
      <c r="A58" s="293"/>
      <c r="B58" s="310" t="str">
        <v>Modena (elox.) - maximum profile length 2500 mm</v>
      </c>
      <c r="K58" s="310" t="str">
        <v>DTDL 18 mm</v>
      </c>
      <c r="AD58" s="310" t="e">
        <f ca="1"/>
        <v>#N/A</v>
      </c>
    </row>
    <row r="59" spans="1:46" s="310" customFormat="1" ht="14.85" hidden="1" customHeight="1">
      <c r="A59" s="293"/>
      <c r="B59" s="310" t="str">
        <v>Modena black matt - maximum profile length 2500 mm</v>
      </c>
      <c r="T59" s="310">
        <f>IFERROR(VLOOKUP($H$21,$T$54:$U$56,2,0),0)</f>
        <v>0</v>
      </c>
      <c r="AD59" s="310" t="e">
        <f ca="1"/>
        <v>#N/A</v>
      </c>
    </row>
    <row r="60" spans="1:46" s="310" customFormat="1" ht="14.85" hidden="1" customHeight="1">
      <c r="A60" s="293"/>
      <c r="B60" s="310" t="str">
        <v>black black brushed - maximum profile length 2500 mm</v>
      </c>
      <c r="K60" s="310" t="b">
        <f>K56=K61</f>
        <v>0</v>
      </c>
      <c r="AD60" s="310" t="e">
        <f ca="1"/>
        <v>#N/A</v>
      </c>
    </row>
    <row r="61" spans="1:46" s="310" customFormat="1" ht="14.85" hidden="1" customHeight="1">
      <c r="A61" s="293"/>
      <c r="B61" s="310" t="str">
        <v>Modena dark stainless steel brushed - maximum profile length 2500 mm</v>
      </c>
      <c r="H61" s="310" t="str">
        <f>'Translate&amp;Prices&amp;Logo'!$B$186</f>
        <v>Bottom door</v>
      </c>
      <c r="K61" s="310" t="str">
        <f>'Translate&amp;Prices&amp;Logo'!$B$231</f>
        <v>2 Pieces (both sides)</v>
      </c>
      <c r="AD61" s="310" t="e">
        <f ca="1"/>
        <v>#N/A</v>
      </c>
    </row>
    <row r="62" spans="1:46" s="310" customFormat="1" ht="14.85" hidden="1" customHeight="1">
      <c r="A62" s="293"/>
      <c r="B62" s="310" t="str">
        <v>Pisa (elox.) - maximum profile length 2500 mm</v>
      </c>
      <c r="AD62" s="310" t="e">
        <f ca="1"/>
        <v>#N/A</v>
      </c>
    </row>
    <row r="63" spans="1:46" s="310" customFormat="1" ht="14.85" hidden="1" customHeight="1">
      <c r="A63" s="293"/>
      <c r="B63" s="310" t="str">
        <v>Pisa white matt RAL 9003 - maximum profile length 2500 mm</v>
      </c>
      <c r="AD63" s="310" t="e">
        <f ca="1"/>
        <v>#N/A</v>
      </c>
    </row>
    <row r="64" spans="1:46" s="310" customFormat="1" ht="14.85" hidden="1" customHeight="1">
      <c r="A64" s="293"/>
      <c r="B64" s="310" t="str">
        <v>Pisa white gloss RAL 9003 - maximum profile length 2500 mm</v>
      </c>
      <c r="AD64" s="310" t="e">
        <f ca="1"/>
        <v>#N/A</v>
      </c>
    </row>
    <row r="65" spans="1:30" s="310" customFormat="1" ht="14.85" hidden="1" customHeight="1">
      <c r="A65" s="293"/>
      <c r="B65" s="310" t="str">
        <v>Pisa black matt - maximum profile length 2500 mm</v>
      </c>
      <c r="H65" s="167" t="str">
        <f>'rozpad závěsů bez prázdn. řádků'!$K$1</f>
        <v>cross screw</v>
      </c>
      <c r="I65" s="312">
        <v>6</v>
      </c>
      <c r="J65" s="166" t="e">
        <f>VLOOKUP($H$15,'rozpad závěsů bez prázdn. řádků'!$G$2:$X$66,I65,0)</f>
        <v>#N/A</v>
      </c>
      <c r="O65" s="310" t="str">
        <f t="array" ref="O65:O71">IF($H$15=kombinace_2!$AB$40,_strong_vzpera_horni,IF($H$15=kombinace_2!$AB$41,_stronglift_klopna,IF($H$12='závěsy dle výklopu'!$BQ$2,$J$65:$J$71,'Translate&amp;Prices&amp;Logo'!$B$185:$B$186)))</f>
        <v>Top door</v>
      </c>
      <c r="AD65" s="310" t="e">
        <f ca="1"/>
        <v>#N/A</v>
      </c>
    </row>
    <row r="66" spans="1:30" s="310" customFormat="1" ht="14.85" hidden="1" customHeight="1">
      <c r="A66" s="293"/>
      <c r="B66" s="310" t="str">
        <v>Pisa gold - maximum profile length 2150 mm</v>
      </c>
      <c r="H66" s="167" t="str">
        <f>'rozpad závěsů bez prázdn. řádků'!$M$1</f>
        <v>on screw (w/ cam adjust)</v>
      </c>
      <c r="I66" s="312">
        <v>8</v>
      </c>
      <c r="J66" s="166" t="e">
        <f>VLOOKUP($H$15,'rozpad závěsů bez prázdn. řádků'!$G$2:$X$66,I66,0)</f>
        <v>#N/A</v>
      </c>
      <c r="O66" s="310" t="str">
        <v>Bottom door</v>
      </c>
      <c r="AD66" s="310" t="e">
        <f ca="1"/>
        <v>#N/A</v>
      </c>
    </row>
    <row r="67" spans="1:30" s="310" customFormat="1" ht="14.85" hidden="1" customHeight="1">
      <c r="A67" s="293"/>
      <c r="B67" s="310" t="str">
        <v>Rocca (elox.) - maximum profile length 2150 mm</v>
      </c>
      <c r="H67" s="167" t="str">
        <f>'rozpad závěsů bez prázdn. řádků'!$O$1</f>
        <v>euroscrew</v>
      </c>
      <c r="I67" s="312">
        <v>10</v>
      </c>
      <c r="J67" s="166" t="e">
        <f>VLOOKUP($H$15,'rozpad závěsů bez prázdn. řádků'!$G$2:$X$66,I67,0)</f>
        <v>#N/A</v>
      </c>
      <c r="O67" s="310" t="e">
        <v>#N/A</v>
      </c>
      <c r="AD67" s="310" t="e">
        <f ca="1"/>
        <v>#N/A</v>
      </c>
    </row>
    <row r="68" spans="1:30" s="310" customFormat="1" ht="14.85" hidden="1" customHeight="1">
      <c r="A68" s="293"/>
      <c r="B68" s="310" t="str">
        <v>Rocca black matt - maximum profile length 2150 mm</v>
      </c>
      <c r="H68" s="167" t="str">
        <f>'rozpad závěsů bez prázdn. řádků'!$Q$1</f>
        <v>expando</v>
      </c>
      <c r="I68" s="312">
        <v>12</v>
      </c>
      <c r="J68" s="166" t="e">
        <f>VLOOKUP($H$15,'rozpad závěsů bez prázdn. řádků'!$G$2:$X$66,I68,0)</f>
        <v>#N/A</v>
      </c>
      <c r="O68" s="310" t="e">
        <v>#N/A</v>
      </c>
      <c r="AD68" s="310" t="e">
        <f ca="1"/>
        <v>#N/A</v>
      </c>
    </row>
    <row r="69" spans="1:30" s="310" customFormat="1" ht="14.85" hidden="1" customHeight="1">
      <c r="A69" s="293"/>
      <c r="B69" s="310" t="str">
        <v>Verona (elox.) - maximum profile length 2500 mm</v>
      </c>
      <c r="H69" s="167" t="str">
        <f>'rozpad závěsů bez prázdn. řádků'!$S$1</f>
        <v>direct screw</v>
      </c>
      <c r="I69" s="312">
        <v>14</v>
      </c>
      <c r="J69" s="166" t="e">
        <f>VLOOKUP($H$15,'rozpad závěsů bez prázdn. řádků'!$G$2:$X$66,I69,0)</f>
        <v>#N/A</v>
      </c>
      <c r="O69" s="310" t="e">
        <v>#N/A</v>
      </c>
      <c r="AD69" s="310" t="e">
        <f ca="1"/>
        <v>#N/A</v>
      </c>
    </row>
    <row r="70" spans="1:30" s="310" customFormat="1" ht="14.85" hidden="1" customHeight="1">
      <c r="A70" s="293"/>
      <c r="B70" s="310" t="str">
        <v>Verona brushed aluminium - maximum profile length 2500 mm</v>
      </c>
      <c r="H70" s="167" t="str">
        <f>'rozpad závěsů bez prázdn. řádků'!$U$1</f>
        <v>direct euroscrew</v>
      </c>
      <c r="I70" s="312">
        <v>16</v>
      </c>
      <c r="J70" s="166" t="e">
        <f>VLOOKUP($H$15,'rozpad závěsů bez prázdn. řádků'!$G$2:$X$66,I70,0)</f>
        <v>#N/A</v>
      </c>
      <c r="O70" s="310" t="e">
        <v>#N/A</v>
      </c>
      <c r="AD70" s="310" t="e">
        <f ca="1"/>
        <v>#N/A</v>
      </c>
    </row>
    <row r="71" spans="1:30" s="310" customFormat="1" ht="14.85" hidden="1" customHeight="1">
      <c r="A71" s="293"/>
      <c r="B71" s="310" t="str">
        <v>Verona black matt - maximum profile length 2500 mm</v>
      </c>
      <c r="H71" s="167" t="str">
        <f>'rozpad závěsů bez prázdn. řádků'!$W$1</f>
        <v>direct expando</v>
      </c>
      <c r="I71" s="312">
        <v>18</v>
      </c>
      <c r="J71" s="166" t="e">
        <f>VLOOKUP($H$15,'rozpad závěsů bez prázdn. řádků'!$G$2:$X$66,I71,0)</f>
        <v>#N/A</v>
      </c>
      <c r="O71" s="310" t="e">
        <v>#N/A</v>
      </c>
      <c r="AD71" s="310" t="e">
        <f ca="1"/>
        <v>#N/A</v>
      </c>
    </row>
    <row r="72" spans="1:30" s="310" customFormat="1" ht="14.85" hidden="1" customHeight="1">
      <c r="A72" s="293"/>
      <c r="B72" s="310" t="str">
        <v>Verona black gloss - maximum profile length 2500 mm</v>
      </c>
      <c r="AD72" s="310" t="e">
        <f ca="1"/>
        <v>#N/A</v>
      </c>
    </row>
    <row r="73" spans="1:30" s="310" customFormat="1" ht="14.85" hidden="1" customHeight="1">
      <c r="A73" s="293"/>
      <c r="B73" s="310" t="str">
        <v>Verona brown - maximum profile length 2500 mm</v>
      </c>
      <c r="AD73" s="310" t="e">
        <f ca="1"/>
        <v>#N/A</v>
      </c>
    </row>
    <row r="74" spans="1:30" s="310" customFormat="1" ht="14.85" hidden="1" customHeight="1">
      <c r="A74" s="293"/>
      <c r="B74" s="310" t="str">
        <v>Verona champagne - maximum profile length 2500 mm</v>
      </c>
      <c r="AD74" s="310" t="e">
        <f ca="1"/>
        <v>#N/A</v>
      </c>
    </row>
    <row r="75" spans="1:30" s="310" customFormat="1" ht="14.85" hidden="1" customHeight="1">
      <c r="A75" s="293"/>
      <c r="B75" s="310" t="str">
        <v>Verona dark stainless steel brushed - maximum profile length 2500 mm</v>
      </c>
      <c r="AD75" s="310" t="e">
        <f ca="1"/>
        <v>#N/A</v>
      </c>
    </row>
    <row r="76" spans="1:30" s="310" customFormat="1" ht="14.85" hidden="1" customHeight="1">
      <c r="A76" s="293"/>
      <c r="B76" s="310" t="str">
        <v>Verona light stainless steel (Acier grata) - maximum profile length 2500 mm</v>
      </c>
      <c r="AD76" s="310" t="e">
        <f ca="1"/>
        <v>#N/A</v>
      </c>
    </row>
    <row r="77" spans="1:30" s="310" customFormat="1" ht="14.85" hidden="1" customHeight="1">
      <c r="A77" s="293"/>
      <c r="B77" s="310" t="str">
        <v>Verona gold - maximum profile length 2150 mm</v>
      </c>
      <c r="AD77" s="310" t="e">
        <f ca="1"/>
        <v>#N/A</v>
      </c>
    </row>
    <row r="78" spans="1:30" s="310" customFormat="1" ht="14.85" hidden="1" customHeight="1">
      <c r="A78" s="293"/>
      <c r="B78" s="310" t="str">
        <v>Verona gold brushed - maximum profile length 2150 mm</v>
      </c>
      <c r="AD78" s="310" t="e">
        <f ca="1"/>
        <v>#N/A</v>
      </c>
    </row>
    <row r="79" spans="1:30" s="310" customFormat="1" ht="14.85" hidden="1" customHeight="1">
      <c r="A79" s="293"/>
      <c r="B79" s="310" t="str">
        <v>Vivaro (elox.) - maximum profile length 2500 mm</v>
      </c>
      <c r="AD79" s="310" t="e">
        <f ca="1"/>
        <v>#N/A</v>
      </c>
    </row>
    <row r="80" spans="1:30" s="310" customFormat="1" ht="14.85" hidden="1" customHeight="1">
      <c r="A80" s="293"/>
      <c r="B80" s="310" t="str">
        <v>Vivaro black matt - maximum profile length 2500 mm</v>
      </c>
      <c r="AD80" s="310" t="e">
        <f ca="1"/>
        <v>#N/A</v>
      </c>
    </row>
    <row r="81" spans="1:38" s="310" customFormat="1" ht="14.85" hidden="1" customHeight="1">
      <c r="A81" s="293"/>
      <c r="B81" s="310" t="str">
        <v>Vivaro dark stainless steel - maximum profile length 2500 mm</v>
      </c>
      <c r="AD81" s="310" t="e">
        <f ca="1"/>
        <v>#N/A</v>
      </c>
    </row>
    <row r="82" spans="1:38" s="310" customFormat="1" ht="14.85" hidden="1" customHeight="1">
      <c r="A82" s="293"/>
      <c r="B82" s="310" t="str">
        <v>Vivaro white matt RAL 9003 - maximum profile length 2500 mm</v>
      </c>
      <c r="P82" s="310" t="str" cm="1">
        <f t="array" ref="P82:P83">IF(OR(H8=kombinace_2!F14,H8=kombinace_2!F15,H8=kombinace_2!F16,H8=kombinace_2!F17,H8=kombinace_2!F18,H8=kombinace_2!F19,H8=kombinace_2!A55,H8=kombinace_2!A56,H8=kombinace_2!A57,H8=kombinace_2!A58),Q56:Q57,IF(H15=kombinace_2!AB8,_ramena_HL,Q54:Q57))</f>
        <v>Right</v>
      </c>
      <c r="AD82" s="310" t="e">
        <f ca="1"/>
        <v>#N/A</v>
      </c>
    </row>
    <row r="83" spans="1:38" ht="14.85" hidden="1" customHeight="1">
      <c r="B83" s="291" t="str">
        <v>Vivaro white gloss RAL 9003 - maximum profile length 2500 mm</v>
      </c>
      <c r="C83" s="293"/>
      <c r="D83" s="293"/>
      <c r="E83" s="293"/>
      <c r="F83" s="293"/>
      <c r="G83" s="293"/>
      <c r="H83" s="293"/>
      <c r="I83" s="293"/>
      <c r="J83" s="293"/>
      <c r="K83" s="293"/>
      <c r="L83" s="293"/>
      <c r="M83" s="293"/>
      <c r="N83" s="293"/>
      <c r="O83" s="291"/>
      <c r="P83" s="293" t="str">
        <v>Left</v>
      </c>
      <c r="Q83" s="293"/>
      <c r="R83" s="293"/>
      <c r="S83" s="293"/>
      <c r="T83" s="302"/>
      <c r="U83" s="302"/>
      <c r="V83" s="302"/>
      <c r="W83" s="302"/>
      <c r="X83" s="302"/>
      <c r="Y83" s="303"/>
      <c r="Z83" s="303"/>
      <c r="AA83" s="303"/>
      <c r="AB83" s="303"/>
      <c r="AC83" s="301"/>
      <c r="AD83" s="301" t="e">
        <f ca="1"/>
        <v>#N/A</v>
      </c>
      <c r="AE83" s="301"/>
      <c r="AF83" s="301"/>
      <c r="AG83" s="301"/>
      <c r="AH83" s="301"/>
      <c r="AI83" s="303"/>
      <c r="AJ83" s="303"/>
      <c r="AK83" s="303"/>
      <c r="AL83" s="303"/>
    </row>
    <row r="84" spans="1:38" ht="14.85" hidden="1" customHeight="1">
      <c r="B84" s="291" t="str">
        <v>Vivaro gold - maximum profile length 2150 mm</v>
      </c>
      <c r="C84" s="293"/>
      <c r="D84" s="293"/>
      <c r="E84" s="293"/>
      <c r="F84" s="293"/>
      <c r="G84" s="293"/>
      <c r="H84" s="293"/>
      <c r="I84" s="293"/>
      <c r="J84" s="293"/>
      <c r="K84" s="293"/>
      <c r="L84" s="293"/>
      <c r="M84" s="293"/>
      <c r="N84" s="293"/>
      <c r="O84" s="291"/>
      <c r="P84" s="293"/>
      <c r="Q84" s="293"/>
      <c r="R84" s="293"/>
      <c r="S84" s="293"/>
      <c r="T84" s="302"/>
      <c r="U84" s="302"/>
      <c r="V84" s="302"/>
      <c r="W84" s="302"/>
      <c r="X84" s="302"/>
      <c r="Y84" s="303"/>
      <c r="Z84" s="303"/>
      <c r="AA84" s="303"/>
      <c r="AB84" s="303"/>
      <c r="AC84" s="301"/>
      <c r="AD84" s="301" t="e">
        <f ca="1"/>
        <v>#N/A</v>
      </c>
      <c r="AE84" s="301"/>
      <c r="AF84" s="301"/>
      <c r="AG84" s="301"/>
      <c r="AH84" s="301"/>
      <c r="AI84" s="303"/>
      <c r="AJ84" s="303"/>
      <c r="AK84" s="303"/>
      <c r="AL84" s="303"/>
    </row>
    <row r="85" spans="1:38" ht="14.85" hidden="1" customHeight="1">
      <c r="B85" s="291" t="str">
        <v>Vivaro gold brushed - maximum profile length 2150 mm</v>
      </c>
      <c r="C85" s="293"/>
      <c r="D85" s="293"/>
      <c r="E85" s="293"/>
      <c r="F85" s="293"/>
      <c r="G85" s="293"/>
      <c r="H85" s="293"/>
      <c r="I85" s="293"/>
      <c r="J85" s="293"/>
      <c r="K85" s="293"/>
      <c r="L85" s="293"/>
      <c r="M85" s="293"/>
      <c r="N85" s="293"/>
      <c r="O85" s="293"/>
      <c r="P85" s="293"/>
      <c r="Q85" s="293"/>
      <c r="R85" s="293"/>
      <c r="S85" s="293"/>
      <c r="T85" s="302"/>
      <c r="U85" s="302"/>
      <c r="V85" s="302"/>
      <c r="W85" s="302"/>
      <c r="X85" s="302"/>
      <c r="Y85" s="303"/>
      <c r="Z85" s="303"/>
      <c r="AA85" s="303"/>
      <c r="AB85" s="303"/>
      <c r="AC85" s="301"/>
      <c r="AD85" s="301" t="e">
        <f ca="1"/>
        <v>#N/A</v>
      </c>
      <c r="AE85" s="301"/>
      <c r="AF85" s="301"/>
      <c r="AG85" s="301"/>
      <c r="AH85" s="301"/>
      <c r="AI85" s="303"/>
      <c r="AJ85" s="303"/>
      <c r="AK85" s="303"/>
      <c r="AL85" s="303"/>
    </row>
    <row r="86" spans="1:38" ht="14.85" hidden="1" customHeight="1">
      <c r="B86" s="291" t="str">
        <v>Rocca elox (Left and Right) + Varna elox (Top and Bottom)</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e">
        <f ca="1"/>
        <v>#N/A</v>
      </c>
      <c r="AE86" s="301"/>
      <c r="AF86" s="301"/>
      <c r="AG86" s="301"/>
      <c r="AH86" s="301"/>
      <c r="AI86" s="303"/>
      <c r="AJ86" s="303"/>
      <c r="AK86" s="303"/>
      <c r="AL86" s="303"/>
    </row>
    <row r="87" spans="1:38" ht="14.85" hidden="1" customHeight="1">
      <c r="B87" s="291" t="str">
        <v>Rocca black (Left and right) + Varna black (Top and bottom)</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e">
        <f ca="1"/>
        <v>#N/A</v>
      </c>
      <c r="AE87" s="301"/>
      <c r="AF87" s="301"/>
      <c r="AG87" s="301"/>
      <c r="AH87" s="301"/>
      <c r="AI87" s="303"/>
      <c r="AJ87" s="303"/>
      <c r="AK87" s="303"/>
      <c r="AL87" s="303"/>
    </row>
    <row r="88" spans="1:38" ht="14.85" hidden="1" customHeight="1">
      <c r="B88" s="291" t="str">
        <v>ROMA black matt  - maximum profile length 2696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e">
        <f ca="1"/>
        <v>#N/A</v>
      </c>
      <c r="AE88" s="301"/>
      <c r="AF88" s="301"/>
      <c r="AG88" s="301"/>
      <c r="AH88" s="301"/>
      <c r="AI88" s="303"/>
      <c r="AJ88" s="303"/>
      <c r="AK88" s="303"/>
      <c r="AL88" s="303"/>
    </row>
    <row r="89" spans="1:38" ht="14.85" hidden="1" customHeight="1">
      <c r="B89" s="291" t="str">
        <v>ROMA champagne matt  - maximum profile length 2696 mm</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e">
        <f ca="1"/>
        <v>#N/A</v>
      </c>
      <c r="AE89" s="301"/>
      <c r="AF89" s="301"/>
      <c r="AG89" s="301"/>
      <c r="AH89" s="301"/>
      <c r="AI89" s="303"/>
      <c r="AJ89" s="303"/>
      <c r="AK89" s="303"/>
      <c r="AL89" s="303"/>
    </row>
    <row r="90" spans="1:38" ht="14.85" hidden="1" customHeight="1">
      <c r="B90" s="291" t="str">
        <v>ROMA GRIP black matt  - maximum profile length 2696 mm</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e">
        <f ca="1"/>
        <v>#N/A</v>
      </c>
      <c r="AE90" s="301"/>
      <c r="AF90" s="301"/>
      <c r="AG90" s="301"/>
      <c r="AH90" s="301"/>
      <c r="AI90" s="303"/>
      <c r="AJ90" s="303"/>
      <c r="AK90" s="303"/>
      <c r="AL90" s="303"/>
    </row>
    <row r="91" spans="1:38" ht="14.85" hidden="1" customHeight="1">
      <c r="B91" s="291" t="str">
        <v>ROMA GRIP champagne matt  - maximum profile length 2696 mm</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e">
        <f ca="1"/>
        <v>#N/A</v>
      </c>
      <c r="AE91" s="301"/>
      <c r="AF91" s="301"/>
      <c r="AG91" s="301"/>
      <c r="AH91" s="301"/>
      <c r="AI91" s="303"/>
      <c r="AJ91" s="303"/>
      <c r="AK91" s="303"/>
      <c r="AL91" s="303"/>
    </row>
    <row r="92" spans="1:38" ht="14.85" hidden="1" customHeight="1">
      <c r="B92" s="291"/>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e">
        <f ca="1"/>
        <v>#N/A</v>
      </c>
      <c r="AE92" s="301"/>
      <c r="AF92" s="301"/>
      <c r="AG92" s="301"/>
      <c r="AH92" s="301"/>
      <c r="AI92" s="303"/>
      <c r="AJ92" s="303"/>
      <c r="AK92" s="303"/>
      <c r="AL92" s="303"/>
    </row>
    <row r="93" spans="1:38" ht="14.85" hidden="1" customHeight="1">
      <c r="B93" s="291"/>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e">
        <f ca="1"/>
        <v>#N/A</v>
      </c>
      <c r="AE93" s="301"/>
      <c r="AF93" s="301"/>
      <c r="AG93" s="301"/>
      <c r="AH93" s="301"/>
      <c r="AI93" s="303"/>
      <c r="AJ93" s="303"/>
      <c r="AK93" s="303"/>
      <c r="AL93" s="303"/>
    </row>
    <row r="94" spans="1:38" ht="14.85" hidden="1" customHeight="1">
      <c r="B94" s="291"/>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e">
        <f ca="1"/>
        <v>#N/A</v>
      </c>
      <c r="AE94" s="301"/>
      <c r="AF94" s="301"/>
      <c r="AG94" s="301"/>
      <c r="AH94" s="301"/>
      <c r="AI94" s="303"/>
      <c r="AJ94" s="303"/>
      <c r="AK94" s="303"/>
      <c r="AL94" s="303"/>
    </row>
    <row r="95" spans="1:38" ht="14.85" hidden="1" customHeight="1">
      <c r="B95" s="291"/>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e">
        <f ca="1"/>
        <v>#N/A</v>
      </c>
      <c r="AE95" s="301"/>
      <c r="AF95" s="301"/>
      <c r="AG95" s="301"/>
      <c r="AH95" s="301"/>
      <c r="AI95" s="303"/>
      <c r="AJ95" s="303"/>
      <c r="AK95" s="303"/>
      <c r="AL95" s="303"/>
    </row>
    <row r="96" spans="1:38" ht="14.85" hidden="1" customHeight="1">
      <c r="B96" s="291"/>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e">
        <f ca="1"/>
        <v>#N/A</v>
      </c>
      <c r="AE96" s="301"/>
      <c r="AF96" s="301"/>
      <c r="AG96" s="301"/>
      <c r="AH96" s="301"/>
      <c r="AI96" s="303"/>
      <c r="AJ96" s="303"/>
      <c r="AK96" s="303"/>
      <c r="AL96" s="303"/>
    </row>
    <row r="97" spans="2:38" ht="14.85" hidden="1" customHeight="1">
      <c r="B97" s="291"/>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e">
        <f ca="1"/>
        <v>#N/A</v>
      </c>
      <c r="AE97" s="301"/>
      <c r="AF97" s="301"/>
      <c r="AG97" s="301"/>
      <c r="AH97" s="301"/>
      <c r="AI97" s="303"/>
      <c r="AJ97" s="303"/>
      <c r="AK97" s="303"/>
      <c r="AL97" s="303"/>
    </row>
    <row r="98" spans="2:38" ht="14.85" hidden="1" customHeight="1">
      <c r="B98" s="291"/>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PctSF+w3SgWwny3/HvykUg2xlg4BXgHj6zfyFJNngLy99dVP/Wuat2AuoZ6Z3AD8h4yCjvuTTeU4C1Fab09GjQ==" saltValue="uq/e17HPPPHVXN0fUUMJuQ==" spinCount="100000" sheet="1" objects="1" scenarios="1"/>
  <protectedRanges>
    <protectedRange sqref="G7 I7:R7" name="Oblast1"/>
  </protectedRanges>
  <mergeCells count="99">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 ref="B12:F12"/>
    <mergeCell ref="B25:F25"/>
    <mergeCell ref="H25:Q25"/>
    <mergeCell ref="B7:F7"/>
    <mergeCell ref="B9:F9"/>
    <mergeCell ref="H9:Q9"/>
    <mergeCell ref="H10:L10"/>
    <mergeCell ref="H12:Q12"/>
    <mergeCell ref="H8:Q8"/>
    <mergeCell ref="G7:Q7"/>
    <mergeCell ref="H11:L11"/>
    <mergeCell ref="M10:Q10"/>
    <mergeCell ref="B11:F11"/>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AM14:AM21"/>
    <mergeCell ref="AN19:AO19"/>
    <mergeCell ref="H17:Q17"/>
    <mergeCell ref="B21:F21"/>
    <mergeCell ref="B20:E20"/>
    <mergeCell ref="F20:I20"/>
    <mergeCell ref="H21:Q21"/>
    <mergeCell ref="H14:Q14"/>
    <mergeCell ref="B19:F19"/>
    <mergeCell ref="B14:F14"/>
    <mergeCell ref="BI3:BM3"/>
    <mergeCell ref="B5:D5"/>
    <mergeCell ref="F5:H5"/>
    <mergeCell ref="J5:L5"/>
    <mergeCell ref="N5:P5"/>
    <mergeCell ref="R5:T5"/>
    <mergeCell ref="AB4:AN5"/>
    <mergeCell ref="V5:X5"/>
    <mergeCell ref="A2:AJ3"/>
    <mergeCell ref="AP2:AS3"/>
    <mergeCell ref="BD3:BH3"/>
    <mergeCell ref="AC8:AG8"/>
    <mergeCell ref="S10:Y12"/>
    <mergeCell ref="M11:Q11"/>
    <mergeCell ref="S8:Y9"/>
    <mergeCell ref="AF9:AK9"/>
    <mergeCell ref="AD10:AD12"/>
    <mergeCell ref="AE10:AE16"/>
    <mergeCell ref="AD14:AD21"/>
    <mergeCell ref="AB19:AC19"/>
    <mergeCell ref="S18:Y23"/>
    <mergeCell ref="AJ7:AJ8"/>
    <mergeCell ref="S7:U7"/>
    <mergeCell ref="AC9:AD9"/>
    <mergeCell ref="AP47:AQ47"/>
    <mergeCell ref="R33:S33"/>
    <mergeCell ref="R34:S34"/>
    <mergeCell ref="V34:W34"/>
    <mergeCell ref="AN47:AO47"/>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s>
  <conditionalFormatting sqref="B5 F5 J5 N5 R5 V5">
    <cfRule type="cellIs" dxfId="672" priority="24" operator="equal">
      <formula>$A$2</formula>
    </cfRule>
  </conditionalFormatting>
  <conditionalFormatting sqref="B16:I16">
    <cfRule type="expression" dxfId="671" priority="45">
      <formula>$AU$19=0</formula>
    </cfRule>
  </conditionalFormatting>
  <conditionalFormatting sqref="B9:Q9">
    <cfRule type="expression" dxfId="670" priority="30">
      <formula>$B$9=0</formula>
    </cfRule>
  </conditionalFormatting>
  <conditionalFormatting sqref="B11:Q11">
    <cfRule type="expression" dxfId="669" priority="44">
      <formula>$AU$10=0</formula>
    </cfRule>
  </conditionalFormatting>
  <conditionalFormatting sqref="B14:Q14">
    <cfRule type="expression" dxfId="668" priority="29">
      <formula>$B$14=0</formula>
    </cfRule>
  </conditionalFormatting>
  <conditionalFormatting sqref="B17:Q17">
    <cfRule type="expression" dxfId="667" priority="28">
      <formula>$B$17=0</formula>
    </cfRule>
  </conditionalFormatting>
  <conditionalFormatting sqref="B18:Q18">
    <cfRule type="expression" dxfId="666" priority="14" stopIfTrue="1">
      <formula>$B$18=0</formula>
    </cfRule>
    <cfRule type="expression" dxfId="665" priority="17">
      <formula>$F$16=$H$61</formula>
    </cfRule>
  </conditionalFormatting>
  <conditionalFormatting sqref="B19:Q19">
    <cfRule type="expression" dxfId="664" priority="27">
      <formula>$B$19=0</formula>
    </cfRule>
  </conditionalFormatting>
  <conditionalFormatting sqref="B20:Q20">
    <cfRule type="expression" dxfId="663" priority="26">
      <formula>$B$19=0</formula>
    </cfRule>
    <cfRule type="expression" dxfId="662" priority="25">
      <formula>$B$20=0</formula>
    </cfRule>
  </conditionalFormatting>
  <conditionalFormatting sqref="B21:Q21">
    <cfRule type="expression" dxfId="661" priority="6">
      <formula>$B$21=" "</formula>
    </cfRule>
  </conditionalFormatting>
  <conditionalFormatting sqref="B24:Q24">
    <cfRule type="expression" dxfId="660" priority="19" stopIfTrue="1">
      <formula>$T$59&lt;3</formula>
    </cfRule>
  </conditionalFormatting>
  <conditionalFormatting sqref="H23">
    <cfRule type="expression" dxfId="659" priority="31">
      <formula>$H$25&gt;0</formula>
    </cfRule>
  </conditionalFormatting>
  <conditionalFormatting sqref="H10:L11">
    <cfRule type="expression" dxfId="658" priority="23">
      <formula>$AU$10=2</formula>
    </cfRule>
  </conditionalFormatting>
  <conditionalFormatting sqref="H10:Q10">
    <cfRule type="expression" dxfId="657" priority="22">
      <formula>$AU$10=0</formula>
    </cfRule>
  </conditionalFormatting>
  <conditionalFormatting sqref="H22:Q22 B22:G23">
    <cfRule type="expression" dxfId="656" priority="20">
      <formula>$AS$33=1</formula>
    </cfRule>
  </conditionalFormatting>
  <conditionalFormatting sqref="J16:M16">
    <cfRule type="expression" dxfId="655" priority="16" stopIfTrue="1">
      <formula>$K$60=TRUE</formula>
    </cfRule>
  </conditionalFormatting>
  <conditionalFormatting sqref="J16:N16">
    <cfRule type="expression" dxfId="654" priority="18" stopIfTrue="1">
      <formula>$AV$19=0</formula>
    </cfRule>
  </conditionalFormatting>
  <conditionalFormatting sqref="M10:Q11">
    <cfRule type="expression" dxfId="653" priority="21">
      <formula>$AU$10=1</formula>
    </cfRule>
  </conditionalFormatting>
  <conditionalFormatting sqref="N16:Q16">
    <cfRule type="expression" dxfId="652" priority="15" stopIfTrue="1">
      <formula>$K$60=TRUE</formula>
    </cfRule>
  </conditionalFormatting>
  <conditionalFormatting sqref="P29:Q29">
    <cfRule type="expression" dxfId="651" priority="1">
      <formula>$U$41=2</formula>
    </cfRule>
  </conditionalFormatting>
  <conditionalFormatting sqref="AA9:AA10 AA24:AA25">
    <cfRule type="expression" dxfId="650" priority="10" stopIfTrue="1">
      <formula>$AU$17=1</formula>
    </cfRule>
  </conditionalFormatting>
  <conditionalFormatting sqref="AA16:AA17">
    <cfRule type="expression" dxfId="649" priority="5" stopIfTrue="1">
      <formula>$AU$24="1_3"</formula>
    </cfRule>
  </conditionalFormatting>
  <conditionalFormatting sqref="AB6 AA6:AA7 AA27 AA28:AB28">
    <cfRule type="expression" dxfId="648" priority="4" stopIfTrue="1">
      <formula>$AV$17=1</formula>
    </cfRule>
  </conditionalFormatting>
  <conditionalFormatting sqref="AB29:AO29">
    <cfRule type="cellIs" dxfId="647" priority="2" operator="equal">
      <formula>0</formula>
    </cfRule>
  </conditionalFormatting>
  <conditionalFormatting sqref="AC6:AD6 AM6:AN6">
    <cfRule type="expression" dxfId="646" priority="12" stopIfTrue="1">
      <formula>$AU$17=3</formula>
    </cfRule>
  </conditionalFormatting>
  <conditionalFormatting sqref="AC25:AD25 AJ26:AJ27">
    <cfRule type="expression" dxfId="645" priority="39">
      <formula>$AU$25=4</formula>
    </cfRule>
  </conditionalFormatting>
  <conditionalFormatting sqref="AC28:AD28 AM28:AN28">
    <cfRule type="expression" dxfId="644" priority="11" stopIfTrue="1">
      <formula>$AU$17=4</formula>
    </cfRule>
  </conditionalFormatting>
  <conditionalFormatting sqref="AC8:AG8">
    <cfRule type="expression" dxfId="643" priority="43">
      <formula>$AU$25=3</formula>
    </cfRule>
  </conditionalFormatting>
  <conditionalFormatting sqref="AC24:AG24">
    <cfRule type="expression" dxfId="642" priority="40">
      <formula>$AU$25=4</formula>
    </cfRule>
  </conditionalFormatting>
  <conditionalFormatting sqref="AD10:AD12 AB19:AC19">
    <cfRule type="expression" dxfId="641" priority="33">
      <formula>$AU$25=1</formula>
    </cfRule>
  </conditionalFormatting>
  <conditionalFormatting sqref="AD14:AD21">
    <cfRule type="expression" dxfId="640" priority="32">
      <formula>$AU$25=1</formula>
    </cfRule>
  </conditionalFormatting>
  <conditionalFormatting sqref="AE10:AE16">
    <cfRule type="expression" dxfId="639" priority="41">
      <formula>$AU$25=1</formula>
    </cfRule>
  </conditionalFormatting>
  <conditionalFormatting sqref="AF9:AK9">
    <cfRule type="expression" dxfId="638" priority="36">
      <formula>$AU$25=3</formula>
    </cfRule>
  </conditionalFormatting>
  <conditionalFormatting sqref="AF25:AK25">
    <cfRule type="expression" dxfId="637" priority="38">
      <formula>$AU$25=4</formula>
    </cfRule>
  </conditionalFormatting>
  <conditionalFormatting sqref="AG6:AH6">
    <cfRule type="expression" dxfId="636" priority="8" stopIfTrue="1">
      <formula>$AU$24="3_3"</formula>
    </cfRule>
  </conditionalFormatting>
  <conditionalFormatting sqref="AG28:AH28">
    <cfRule type="expression" dxfId="635" priority="7" stopIfTrue="1">
      <formula>$AU$24="4_3"</formula>
    </cfRule>
  </conditionalFormatting>
  <conditionalFormatting sqref="AJ7:AJ8 AC9:AD9">
    <cfRule type="expression" dxfId="634" priority="37">
      <formula>$AU$25=3</formula>
    </cfRule>
  </conditionalFormatting>
  <conditionalFormatting sqref="AL19:AL25">
    <cfRule type="expression" dxfId="633" priority="42">
      <formula>$AU$25=2</formula>
    </cfRule>
  </conditionalFormatting>
  <conditionalFormatting sqref="AM14:AM21">
    <cfRule type="expression" dxfId="632" priority="34">
      <formula>$AU$25=2</formula>
    </cfRule>
  </conditionalFormatting>
  <conditionalFormatting sqref="AN19:AO19 AM23:AM25">
    <cfRule type="expression" dxfId="631" priority="35">
      <formula>$AU$25=2</formula>
    </cfRule>
  </conditionalFormatting>
  <conditionalFormatting sqref="AO6 AP6:AP7 AP27 AO28:AP28">
    <cfRule type="expression" dxfId="630" priority="3" stopIfTrue="1">
      <formula>$AV$17=2</formula>
    </cfRule>
  </conditionalFormatting>
  <conditionalFormatting sqref="AP9:AP10 AP24:AP25">
    <cfRule type="expression" dxfId="629" priority="9" stopIfTrue="1">
      <formula>$AU$17=2</formula>
    </cfRule>
  </conditionalFormatting>
  <conditionalFormatting sqref="AP16:AP17">
    <cfRule type="expression" dxfId="628" priority="13" stopIfTrue="1">
      <formula>$AU$24="2_3"</formula>
    </cfRule>
  </conditionalFormatting>
  <dataValidations count="20">
    <dataValidation type="whole" allowBlank="1" showInputMessage="1" showErrorMessage="1" sqref="H11:L11" xr:uid="{25B885BF-B814-42FF-A7D1-58D3CB458216}">
      <formula1>1</formula1>
      <formula2>(AR14/100)-1</formula2>
    </dataValidation>
    <dataValidation type="whole" allowBlank="1" showInputMessage="1" showErrorMessage="1" sqref="M11:Q11" xr:uid="{DCC002EE-3D2C-425B-9249-D41C61065CE9}">
      <formula1>1</formula1>
      <formula2>(AI30/100)-1</formula2>
    </dataValidation>
    <dataValidation type="whole" allowBlank="1" showInputMessage="1" showErrorMessage="1" errorTitle="Minimum 80 mm" sqref="F20:I20 N20:Q20" xr:uid="{ACCDC508-B126-45C3-8049-A78E1636332C}">
      <formula1>80</formula1>
      <formula2>1300</formula2>
    </dataValidation>
    <dataValidation type="whole" operator="greaterThanOrEqual" allowBlank="1" showInputMessage="1" showErrorMessage="1" sqref="H26:Q26" xr:uid="{AF7DF0C6-9A01-47F5-B102-6F4B8549143E}">
      <formula1>1</formula1>
    </dataValidation>
    <dataValidation type="list" allowBlank="1" showInputMessage="1" showErrorMessage="1" sqref="H12:Q12" xr:uid="{BA6A1DA1-842A-46DC-A010-3683AB46253E}">
      <formula1>$L$36:$M$36</formula1>
    </dataValidation>
    <dataValidation type="list" allowBlank="1" showInputMessage="1" showErrorMessage="1" sqref="H24:Q24" xr:uid="{DBF5E868-C282-4255-BB8C-1AE17DF78443}">
      <formula1>$X$54:$X$56</formula1>
    </dataValidation>
    <dataValidation type="list" allowBlank="1" showInputMessage="1" showErrorMessage="1" sqref="H21:Q21" xr:uid="{11BE3BBE-0BDF-46F8-8AA0-A8C49F780271}">
      <formula1>$T$54:$T$56</formula1>
    </dataValidation>
    <dataValidation type="list" allowBlank="1" showInputMessage="1" showErrorMessage="1" sqref="H14:Q14" xr:uid="{78B23551-8376-4335-96AE-FC1B2A2F6F00}">
      <formula1>$P$36:$P$38</formula1>
    </dataValidation>
    <dataValidation type="list" allowBlank="1" showInputMessage="1" showErrorMessage="1" sqref="H19:Q19" xr:uid="{9248F489-6D0C-41E1-BB34-507652FF92B4}">
      <formula1>IF(H13="Salice",$AJ$36,($AJ$36:$AJ$40))</formula1>
    </dataValidation>
    <dataValidation type="list" allowBlank="1" showInputMessage="1" showErrorMessage="1" sqref="H18:Q18" xr:uid="{D490DA96-8699-46B6-9F11-29936B3D157C}">
      <formula1>$AF$36:$AF$41</formula1>
    </dataValidation>
    <dataValidation type="list" allowBlank="1" showInputMessage="1" showErrorMessage="1" sqref="N16:Q16" xr:uid="{975A7CAB-F10D-4CA2-A6EA-46671744D12E}">
      <formula1>$K$54:$K$58</formula1>
    </dataValidation>
    <dataValidation type="list" allowBlank="1" showInputMessage="1" showErrorMessage="1" sqref="H13:Q13" xr:uid="{4E87E992-C344-4D42-93F6-7294A4A56552}">
      <formula1>IF(M38="Salice",$L$38,$L$38:$L$42)</formula1>
    </dataValidation>
    <dataValidation type="list" allowBlank="1" showInputMessage="1" showErrorMessage="1" sqref="H15:Q15" xr:uid="{0239D03A-C058-4272-8659-9D6DD51ED677}">
      <formula1>$T$36:$T$44</formula1>
    </dataValidation>
    <dataValidation type="list" allowBlank="1" showInputMessage="1" showErrorMessage="1" sqref="F16:I16" xr:uid="{95AE4117-2B19-4A13-9110-6ABBFA341AEA}">
      <formula1>$O$65:$O$71</formula1>
    </dataValidation>
    <dataValidation type="list" allowBlank="1" showInputMessage="1" showErrorMessage="1" sqref="H17:Q17" xr:uid="{38DD3812-C9A2-486C-A54E-DCC68CB6F7EE}">
      <formula1>$P$82:$P$90</formula1>
    </dataValidation>
    <dataValidation type="whole" operator="lessThan" showInputMessage="1" showErrorMessage="1" sqref="AI30:AK30" xr:uid="{3A5C448A-20F7-4D4F-915F-A83AE6A6D342}">
      <formula1>IF(AR14&lt;AI43+1,AJ43+1,AI43+1)</formula1>
    </dataValidation>
    <dataValidation type="whole" operator="lessThan" showErrorMessage="1" sqref="AR14:AR18" xr:uid="{44093C5C-317B-48DD-ABA6-375C798EC55D}">
      <formula1>IF(AI30&lt;AI43+1,AJ43+1,AI43+1)</formula1>
    </dataValidation>
    <dataValidation type="list" allowBlank="1" showInputMessage="1" showErrorMessage="1" sqref="P29:Q29" xr:uid="{05F6C23C-279F-419E-9F08-A6ACA22BCC77}">
      <formula1>$W$37:$W$38</formula1>
    </dataValidation>
    <dataValidation type="list" allowBlank="1" showInputMessage="1" showErrorMessage="1" sqref="H25:Q25" xr:uid="{C45ECA1C-26D2-4AC7-A13E-804CFE06E508}">
      <formula1>$AD$54:$AD$97</formula1>
    </dataValidation>
    <dataValidation type="list" allowBlank="1" showInputMessage="1" showErrorMessage="1" sqref="H8:Q8" xr:uid="{C8794D6A-AE1A-4584-B4F5-A0EBA6B78B2B}">
      <formula1>B36:B91</formula1>
    </dataValidation>
  </dataValidations>
  <hyperlinks>
    <hyperlink ref="AP2:AS3" location="Hlavní!A1" display="Hlavní!A1" xr:uid="{0DA6ECE9-C269-4F89-947C-3324FFE4AF74}"/>
    <hyperlink ref="F5:H5" location="Ram_2!A1" display="Ram_2!A1" xr:uid="{D3E1079C-F6AB-4BDF-9DB1-F6C3C918EEC7}"/>
    <hyperlink ref="N5:P5" location="Ram_4!A1" display="Ram_4!A1" xr:uid="{29BEFC4C-2088-439A-9520-874958A8E6C8}"/>
    <hyperlink ref="R5:T5" location="Ram_5!A1" display="Ram_5!A1" xr:uid="{EC7BE8C9-F38E-43A7-8375-1020190553CD}"/>
    <hyperlink ref="V5:X5" location="Ram_6!A1" display="Ram_6!A1" xr:uid="{AD0D6138-451F-4353-ABD7-B7993A3F2C3F}"/>
    <hyperlink ref="B5:D5" location="Ram_1!A1" display="Ram_1!A1" xr:uid="{C0BD3001-29B7-4E12-AF25-5546A2805CE7}"/>
    <hyperlink ref="AO31:AR32" location="_souhrn!A1" display="_souhrn!A1" xr:uid="{92AA4579-3B90-4CAC-AB31-06DA04287D5C}"/>
    <hyperlink ref="J5:L5" location="Ram_3!A1" display="Ram_3!A1" xr:uid="{2542C438-2E96-41C2-9A0C-AA6470D6F61B}"/>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5227D608-EBE1-4472-B235-26170621A597}">
          <x14:formula1>
            <xm:f>'závěsy dle výklopu'!$BW$2:$BW$5</xm:f>
          </x14:formula1>
          <xm:sqref>H27:Q27</xm:sqref>
        </x14:dataValidation>
        <x14:dataValidation type="list" allowBlank="1" showInputMessage="1" showErrorMessage="1" xr:uid="{8558AA8E-C736-45C0-A6FF-57570312EE7B}">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D673"/>
  <sheetViews>
    <sheetView topLeftCell="CR1" workbookViewId="0">
      <selection activeCell="DN3" sqref="DN3:DN4"/>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116" width="7.85546875"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v>
      </c>
      <c r="Q1" s="326" t="s">
        <v>1930</v>
      </c>
      <c r="R1" s="11" t="e">
        <f>VLOOKUP(Ram_2!H8,kombinace_2!$A$3:$C$75,3,0)</f>
        <v>#N/A</v>
      </c>
      <c r="S1" t="e">
        <f>CONCATENATE("_",R1,V1)</f>
        <v>#N/A</v>
      </c>
      <c r="U1" s="326" t="s">
        <v>1929</v>
      </c>
      <c r="V1" s="11">
        <f>IFERROR(VLOOKUP(Ram_2!H21,$EN$3:$EO$5,2,0),1)</f>
        <v>1</v>
      </c>
      <c r="X1" t="s">
        <v>1866</v>
      </c>
      <c r="AA1" t="s">
        <v>1021</v>
      </c>
      <c r="AF1" t="s">
        <v>1867</v>
      </c>
      <c r="AX1" t="s">
        <v>693</v>
      </c>
      <c r="BC1" t="s">
        <v>9</v>
      </c>
      <c r="BK1" t="s">
        <v>987</v>
      </c>
      <c r="BM1" t="s">
        <v>1919</v>
      </c>
      <c r="ER1" t="s">
        <v>3124</v>
      </c>
      <c r="ES1" t="s">
        <v>3129</v>
      </c>
      <c r="EV1">
        <v>1</v>
      </c>
      <c r="EW1" t="s">
        <v>3146</v>
      </c>
      <c r="EY1" t="s">
        <v>3249</v>
      </c>
      <c r="FA1" t="s">
        <v>3250</v>
      </c>
      <c r="FC1" t="s">
        <v>3248</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CONCATENATE("_",Ram_2!H12,"_",Ram_2!H13)</f>
        <v>__</v>
      </c>
      <c r="BV2" t="s">
        <v>1947</v>
      </c>
      <c r="BW2" t="s">
        <v>1942</v>
      </c>
      <c r="BY2" t="s">
        <v>220</v>
      </c>
      <c r="CA2" t="s">
        <v>1974</v>
      </c>
      <c r="CD2" t="s">
        <v>2049</v>
      </c>
      <c r="CF2" t="s">
        <v>2294</v>
      </c>
      <c r="DN2" t="str">
        <f>'Translate&amp;Prices&amp;Logo'!B553</f>
        <v>Overlay</v>
      </c>
      <c r="DP2" t="str">
        <f>'Translate&amp;Prices&amp;Logo'!$B$551</f>
        <v>Hinges</v>
      </c>
      <c r="DQ2">
        <v>2</v>
      </c>
      <c r="ED2" t="s">
        <v>2617</v>
      </c>
      <c r="EE2" t="s">
        <v>2711</v>
      </c>
      <c r="ER2" t="s">
        <v>3125</v>
      </c>
      <c r="ES2" t="s">
        <v>3130</v>
      </c>
      <c r="EV2">
        <v>2</v>
      </c>
      <c r="EW2" t="s">
        <v>3147</v>
      </c>
      <c r="EY2" s="366" t="str">
        <f>'Translate&amp;Prices&amp;Logo'!B164</f>
        <v>mesh aluminum gold - field 10x6x1 mm</v>
      </c>
      <c r="FA2" s="168">
        <f>'Translate&amp;Prices&amp;Logo'!B644</f>
        <v>0</v>
      </c>
      <c r="FC2" t="b">
        <v>0</v>
      </c>
    </row>
    <row r="3" spans="1:160">
      <c r="A3" t="str">
        <f>'Translate&amp;Prices&amp;Logo'!$B$6</f>
        <v>BRW (elox.) - maximum profile length 2500 mm</v>
      </c>
      <c r="B3">
        <v>1</v>
      </c>
      <c r="C3" t="s">
        <v>1122</v>
      </c>
      <c r="D3">
        <v>1</v>
      </c>
      <c r="F3" t="s">
        <v>1883</v>
      </c>
      <c r="G3" t="s">
        <v>672</v>
      </c>
      <c r="H3" t="s">
        <v>1884</v>
      </c>
      <c r="I3">
        <v>1</v>
      </c>
      <c r="J3">
        <v>2</v>
      </c>
      <c r="K3" t="s">
        <v>1122</v>
      </c>
      <c r="M3" t="s">
        <v>1885</v>
      </c>
      <c r="N3" t="s">
        <v>947</v>
      </c>
      <c r="X3" t="str">
        <f>'Translate&amp;Prices&amp;Logo'!$B$563</f>
        <v>Transparent</v>
      </c>
      <c r="Y3">
        <v>1</v>
      </c>
      <c r="AA3" t="s">
        <v>3051</v>
      </c>
      <c r="AB3" t="s">
        <v>1942</v>
      </c>
      <c r="AF3" t="s">
        <v>215</v>
      </c>
      <c r="AG3" t="s">
        <v>3407</v>
      </c>
      <c r="AY3" t="s">
        <v>1917</v>
      </c>
      <c r="BK3" t="s">
        <v>215</v>
      </c>
      <c r="BU3" t="e">
        <f>VLOOKUP(BU2,BV:BW,2,0)</f>
        <v>#N/A</v>
      </c>
      <c r="BV3" t="s">
        <v>1950</v>
      </c>
      <c r="BW3" t="s">
        <v>1946</v>
      </c>
      <c r="BY3" t="str">
        <f>'Translate&amp;Prices&amp;Logo'!$B$230</f>
        <v>Left</v>
      </c>
      <c r="BZ3">
        <v>1</v>
      </c>
      <c r="CA3">
        <v>32</v>
      </c>
      <c r="CD3" t="s">
        <v>3404</v>
      </c>
      <c r="CE3">
        <v>1</v>
      </c>
      <c r="CF3">
        <v>1</v>
      </c>
      <c r="DN3" t="e">
        <f>IF(OR(Ram_2!$H$13&amp;Ram_2!$AU$7=Ram_2!$M$44,
Ram_2!$H$13&amp;Ram_2!$AU$7=Ram_2!$M$45,
Ram_2!$H$13&amp;Ram_2!$AU$7=Ram_2!$M$46,
Ram_2!$H$13&amp;Ram_2!$AU$7=Ram_2!$M$47),
'Translate&amp;Prices&amp;Logo'!B657,'Translate&amp;Prices&amp;Logo'!B554)</f>
        <v>#N/A</v>
      </c>
      <c r="DP3" t="str">
        <f>'Translate&amp;Prices&amp;Logo'!$B$552</f>
        <v>Lifts</v>
      </c>
      <c r="DQ3">
        <v>3</v>
      </c>
      <c r="ED3" t="s">
        <v>2618</v>
      </c>
      <c r="EE3" t="s">
        <v>2712</v>
      </c>
      <c r="EJ3">
        <v>1</v>
      </c>
      <c r="EK3" t="s">
        <v>333</v>
      </c>
      <c r="EN3" t="str">
        <f>'Translate&amp;Prices&amp;Logo'!B638</f>
        <v>Not treated</v>
      </c>
      <c r="EO3">
        <v>1</v>
      </c>
      <c r="ER3" t="s">
        <v>3123</v>
      </c>
      <c r="ES3" t="s">
        <v>3131</v>
      </c>
      <c r="EV3">
        <v>3</v>
      </c>
      <c r="EW3" t="s">
        <v>3148</v>
      </c>
      <c r="EY3" s="366" t="str">
        <f>'Translate&amp;Prices&amp;Logo'!B165</f>
        <v>mesh steel black matt - field 8x4x1 mm</v>
      </c>
      <c r="FA3" s="168">
        <f>'Translate&amp;Prices&amp;Logo'!B645</f>
        <v>0</v>
      </c>
    </row>
    <row r="4" spans="1:160">
      <c r="A4" t="str">
        <f>'Translate&amp;Prices&amp;Logo'!$B$8</f>
        <v>BRW white matt RAL 9003 - maximum profile length 2500 mm</v>
      </c>
      <c r="B4">
        <v>1</v>
      </c>
      <c r="C4" t="s">
        <v>1122</v>
      </c>
      <c r="D4">
        <v>0</v>
      </c>
      <c r="G4" t="s">
        <v>1884</v>
      </c>
      <c r="H4" t="s">
        <v>672</v>
      </c>
      <c r="I4">
        <v>0</v>
      </c>
      <c r="J4">
        <v>2</v>
      </c>
      <c r="K4" t="s">
        <v>1122</v>
      </c>
      <c r="M4" t="s">
        <v>1888</v>
      </c>
      <c r="N4" t="s">
        <v>1488</v>
      </c>
      <c r="X4" t="str">
        <f>'Translate&amp;Prices&amp;Logo'!$B$564</f>
        <v>White</v>
      </c>
      <c r="Y4">
        <v>2</v>
      </c>
      <c r="AA4" t="s">
        <v>1887</v>
      </c>
      <c r="AB4" t="s">
        <v>3404</v>
      </c>
      <c r="AC4">
        <v>1</v>
      </c>
      <c r="AD4">
        <v>1</v>
      </c>
      <c r="AF4" t="s">
        <v>216</v>
      </c>
      <c r="AG4" t="s">
        <v>3407</v>
      </c>
      <c r="AY4" t="s">
        <v>1917</v>
      </c>
      <c r="AZ4" t="s">
        <v>1952</v>
      </c>
      <c r="BK4" t="s">
        <v>216</v>
      </c>
      <c r="BV4" t="s">
        <v>1951</v>
      </c>
      <c r="BW4" t="s">
        <v>1945</v>
      </c>
      <c r="BY4" t="str">
        <f>'Translate&amp;Prices&amp;Logo'!$B$229</f>
        <v>Right</v>
      </c>
      <c r="BZ4">
        <v>2</v>
      </c>
      <c r="CA4">
        <v>64</v>
      </c>
      <c r="CD4" t="s">
        <v>3122</v>
      </c>
      <c r="CE4">
        <v>1</v>
      </c>
      <c r="CF4">
        <v>0</v>
      </c>
      <c r="DN4" t="e">
        <f>IF(OR(Ram_2!$H$13&amp;Ram_2!$AU$7=Ram_2!$M$44,
Ram_2!$H$13&amp;Ram_2!$AU$7=Ram_2!$M$45,
Ram_2!$H$13&amp;Ram_2!$AU$7=Ram_2!$M$46,
Ram_2!$H$13&amp;Ram_2!$AU$7=Ram_2!$M$47),
'Translate&amp;Prices&amp;Logo'!B657,'Translate&amp;Prices&amp;Logo'!B555)</f>
        <v>#N/A</v>
      </c>
      <c r="ED4" t="s">
        <v>2619</v>
      </c>
      <c r="EE4" t="s">
        <v>2713</v>
      </c>
      <c r="EJ4">
        <v>2</v>
      </c>
      <c r="EK4" t="s">
        <v>334</v>
      </c>
      <c r="EN4" t="str">
        <f>'Translate&amp;Prices&amp;Logo'!B639</f>
        <v>Harded (delivery is 4 weeks)</v>
      </c>
      <c r="EO4">
        <v>2</v>
      </c>
      <c r="ER4" t="s">
        <v>3482</v>
      </c>
      <c r="ES4" t="s">
        <v>3483</v>
      </c>
      <c r="EV4">
        <v>4</v>
      </c>
      <c r="EW4" t="s">
        <v>3149</v>
      </c>
      <c r="EY4" s="366" t="str">
        <f>'Translate&amp;Prices&amp;Logo'!B166</f>
        <v>mesh steel white - field 8x4x1 mm</v>
      </c>
      <c r="FA4" s="168">
        <f>'Translate&amp;Prices&amp;Logo'!B646</f>
        <v>0</v>
      </c>
      <c r="FD4" s="388"/>
    </row>
    <row r="5" spans="1:160">
      <c r="A5" t="str">
        <f>'Translate&amp;Prices&amp;Logo'!$B$9</f>
        <v>BRW white gloss RAL 9003 - maximum profile length 2500 mm</v>
      </c>
      <c r="B5">
        <v>1</v>
      </c>
      <c r="C5" t="s">
        <v>1122</v>
      </c>
      <c r="D5">
        <v>0</v>
      </c>
      <c r="F5" t="s">
        <v>1890</v>
      </c>
      <c r="G5" t="s">
        <v>671</v>
      </c>
      <c r="H5" t="s">
        <v>1884</v>
      </c>
      <c r="I5">
        <v>1</v>
      </c>
      <c r="J5">
        <v>2</v>
      </c>
      <c r="K5" t="s">
        <v>1122</v>
      </c>
      <c r="M5" t="s">
        <v>1891</v>
      </c>
      <c r="N5" t="s">
        <v>967</v>
      </c>
      <c r="X5" t="str">
        <f>'Translate&amp;Prices&amp;Logo'!$B$565</f>
        <v>Black</v>
      </c>
      <c r="Y5">
        <v>3</v>
      </c>
      <c r="AA5" t="s">
        <v>1887</v>
      </c>
      <c r="AB5" t="s">
        <v>3408</v>
      </c>
      <c r="AC5">
        <v>0</v>
      </c>
      <c r="AD5">
        <v>0</v>
      </c>
      <c r="AF5" t="s">
        <v>215</v>
      </c>
      <c r="AG5" t="s">
        <v>3409</v>
      </c>
      <c r="AY5" t="s">
        <v>1917</v>
      </c>
      <c r="AZ5" t="s">
        <v>1953</v>
      </c>
      <c r="BK5" t="s">
        <v>1894</v>
      </c>
      <c r="BV5" t="s">
        <v>3534</v>
      </c>
      <c r="BW5" t="s">
        <v>3535</v>
      </c>
      <c r="BY5" t="str">
        <f>'Translate&amp;Prices&amp;Logo'!$B$227</f>
        <v>Top</v>
      </c>
      <c r="BZ5">
        <v>3</v>
      </c>
      <c r="CA5">
        <v>76</v>
      </c>
      <c r="CD5" t="s">
        <v>1897</v>
      </c>
      <c r="CE5">
        <v>1</v>
      </c>
      <c r="CF5">
        <v>0</v>
      </c>
      <c r="ED5" t="s">
        <v>2620</v>
      </c>
      <c r="EE5" t="s">
        <v>2714</v>
      </c>
      <c r="EJ5">
        <v>3</v>
      </c>
      <c r="EK5" t="s">
        <v>108</v>
      </c>
      <c r="EN5" t="str">
        <f>'Translate&amp;Prices&amp;Logo'!B640</f>
        <v>Foil</v>
      </c>
      <c r="EO5">
        <v>3</v>
      </c>
      <c r="ER5" t="s">
        <v>3484</v>
      </c>
      <c r="ES5" t="s">
        <v>3485</v>
      </c>
      <c r="EV5">
        <v>5</v>
      </c>
      <c r="EW5" t="s">
        <v>3147</v>
      </c>
      <c r="EY5" s="366" t="str">
        <f>'Translate&amp;Prices&amp;Logo'!B167</f>
        <v>mesh anodized - field 10x6x1 mm</v>
      </c>
      <c r="FA5" s="168">
        <f>'Translate&amp;Prices&amp;Logo'!B647</f>
        <v>0</v>
      </c>
      <c r="FD5" s="388"/>
    </row>
    <row r="6" spans="1:160">
      <c r="A6" t="str">
        <f>'Translate&amp;Prices&amp;Logo'!$B$11</f>
        <v>BRW brushed - maximum profile length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Bottom</v>
      </c>
      <c r="BZ6">
        <v>4</v>
      </c>
      <c r="CA6">
        <v>96</v>
      </c>
      <c r="CD6" t="s">
        <v>1900</v>
      </c>
      <c r="CE6">
        <v>1</v>
      </c>
      <c r="CF6">
        <v>1</v>
      </c>
      <c r="ED6" t="s">
        <v>2621</v>
      </c>
      <c r="EE6" t="s">
        <v>2715</v>
      </c>
      <c r="EJ6">
        <v>4</v>
      </c>
      <c r="EK6" t="s">
        <v>109</v>
      </c>
      <c r="ER6" t="s">
        <v>3486</v>
      </c>
      <c r="ES6" t="s">
        <v>3487</v>
      </c>
      <c r="FA6" s="168">
        <f>'Translate&amp;Prices&amp;Logo'!B648</f>
        <v>0</v>
      </c>
    </row>
    <row r="7" spans="1:160">
      <c r="A7" t="str">
        <f>'Translate&amp;Prices&amp;Logo'!$B$12</f>
        <v>BRW black matt - maximum profile length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3488</v>
      </c>
      <c r="ES7" t="s">
        <v>3489</v>
      </c>
      <c r="FA7" s="168">
        <f>'Translate&amp;Prices&amp;Logo'!B649</f>
        <v>0</v>
      </c>
      <c r="FD7" s="388"/>
    </row>
    <row r="8" spans="1:160">
      <c r="A8" t="str">
        <f>'Translate&amp;Prices&amp;Logo'!$B$14</f>
        <v>BRW black brushed - maximum profile length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3490</v>
      </c>
      <c r="ES8" t="s">
        <v>3491</v>
      </c>
      <c r="FA8" s="168">
        <f>'Translate&amp;Prices&amp;Logo'!B650</f>
        <v>0</v>
      </c>
    </row>
    <row r="9" spans="1:160">
      <c r="A9" t="str">
        <f>'Translate&amp;Prices&amp;Logo'!$B$15</f>
        <v>BRW Light Stainless Steel (ACIER GRATA) - maximum profile length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2718</v>
      </c>
      <c r="ER9" t="s">
        <v>3492</v>
      </c>
      <c r="ES9" t="s">
        <v>3493</v>
      </c>
      <c r="FA9">
        <f>'Translate&amp;Prices&amp;Logo'!B651</f>
        <v>0</v>
      </c>
    </row>
    <row r="10" spans="1:160">
      <c r="A10" t="str">
        <f>'Translate&amp;Prices&amp;Logo'!$B$7</f>
        <v>BRW anthracite RAL 7021 - maximum profile length 2500 mm</v>
      </c>
      <c r="B10">
        <v>1</v>
      </c>
      <c r="C10" t="s">
        <v>1122</v>
      </c>
      <c r="D10">
        <v>0</v>
      </c>
      <c r="M10" t="str">
        <f>'Translate&amp;Prices&amp;Logo'!B558</f>
        <v>Horizontal (delivery is 4 weeks)</v>
      </c>
      <c r="N10">
        <f>IF(Ram_2!$H$9=kombinace_2!M10,1,0)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8"/>
    </row>
    <row r="11" spans="1:160">
      <c r="A11" t="str">
        <f>'Translate&amp;Prices&amp;Logo'!$B$69</f>
        <v>BRW champagne - maximum profile length 2500 mm</v>
      </c>
      <c r="B11">
        <v>1</v>
      </c>
      <c r="C11" t="s">
        <v>1122</v>
      </c>
      <c r="D11">
        <v>0</v>
      </c>
      <c r="M11" t="str">
        <f>'Translate&amp;Prices&amp;Logo'!B559</f>
        <v>Vertical (delivery is 4 weeks)</v>
      </c>
      <c r="N11">
        <f>IF(Ram_2!$H$9=kombinace_2!M11,2,0)</f>
        <v>0</v>
      </c>
      <c r="AC11">
        <v>0</v>
      </c>
      <c r="AD11">
        <v>0</v>
      </c>
      <c r="AF11" t="s">
        <v>215</v>
      </c>
      <c r="AG11" t="s">
        <v>1902</v>
      </c>
      <c r="AY11" t="s">
        <v>1887</v>
      </c>
      <c r="AZ11" t="s">
        <v>1958</v>
      </c>
      <c r="BQ11" s="368" t="s">
        <v>3237</v>
      </c>
      <c r="BY11">
        <v>5</v>
      </c>
      <c r="CA11">
        <v>240</v>
      </c>
      <c r="CD11" t="str">
        <f>CONCATENATE('Translate&amp;Prices&amp;Logo'!B664,"_K12")</f>
        <v>bottom_K12</v>
      </c>
      <c r="CE11">
        <v>1</v>
      </c>
      <c r="CF11">
        <v>0</v>
      </c>
      <c r="DN11" t="s">
        <v>99</v>
      </c>
      <c r="DO11" s="11" t="s">
        <v>99</v>
      </c>
      <c r="ED11" t="s">
        <v>2626</v>
      </c>
      <c r="EE11" t="s">
        <v>2720</v>
      </c>
      <c r="ER11" t="s">
        <v>3127</v>
      </c>
      <c r="ES11" t="s">
        <v>3133</v>
      </c>
      <c r="FD11" s="388"/>
    </row>
    <row r="12" spans="1:160">
      <c r="A12" t="str">
        <f>'Translate&amp;Prices&amp;Logo'!$B$70</f>
        <v>BRW champagne light - maximum profile length 2500 mm</v>
      </c>
      <c r="B12">
        <v>1</v>
      </c>
      <c r="C12" t="s">
        <v>1122</v>
      </c>
      <c r="D12">
        <v>0</v>
      </c>
      <c r="M12" t="str">
        <f>'Translate&amp;Prices&amp;Logo'!B560</f>
        <v>Horizontal and vertical (delivery is 4 weeks)</v>
      </c>
      <c r="N12">
        <f>IF(Ram_2!$H$9=kombinace_2!M12,3,0)</f>
        <v>0</v>
      </c>
      <c r="AC12">
        <v>0</v>
      </c>
      <c r="AD12">
        <v>0</v>
      </c>
      <c r="AF12" t="s">
        <v>216</v>
      </c>
      <c r="AG12" t="s">
        <v>1902</v>
      </c>
      <c r="AY12" t="s">
        <v>1887</v>
      </c>
      <c r="AZ12" t="s">
        <v>1959</v>
      </c>
      <c r="BQ12" s="369"/>
      <c r="BR12" t="s">
        <v>1887</v>
      </c>
      <c r="BY12">
        <v>6</v>
      </c>
      <c r="CA12">
        <v>256</v>
      </c>
      <c r="CD12" t="s">
        <v>1911</v>
      </c>
      <c r="CE12">
        <v>1</v>
      </c>
      <c r="CF12">
        <v>0</v>
      </c>
      <c r="DN12" t="s">
        <v>100</v>
      </c>
      <c r="DO12" s="11" t="s">
        <v>100</v>
      </c>
      <c r="ED12" t="s">
        <v>2627</v>
      </c>
      <c r="EE12" t="s">
        <v>2721</v>
      </c>
      <c r="ER12" t="s">
        <v>3128</v>
      </c>
      <c r="ES12" t="s">
        <v>3134</v>
      </c>
    </row>
    <row r="13" spans="1:160">
      <c r="A13" t="str">
        <f>'Translate&amp;Prices&amp;Logo'!$B$10</f>
        <v>BRW brown - maximum profile length 2500 mm</v>
      </c>
      <c r="B13">
        <v>1</v>
      </c>
      <c r="C13" t="s">
        <v>1122</v>
      </c>
      <c r="D13">
        <v>0</v>
      </c>
      <c r="AC13">
        <v>0</v>
      </c>
      <c r="AD13">
        <v>0</v>
      </c>
      <c r="AF13" t="s">
        <v>215</v>
      </c>
      <c r="AG13" t="s">
        <v>1905</v>
      </c>
      <c r="AY13" t="s">
        <v>1887</v>
      </c>
      <c r="AZ13" t="s">
        <v>1960</v>
      </c>
      <c r="BQ13" s="369"/>
      <c r="BR13" t="s">
        <v>1899</v>
      </c>
      <c r="BY13" t="str">
        <f>'Translate&amp;Prices&amp;Logo'!$B$558</f>
        <v>Horizontal (delivery is 4 weeks)</v>
      </c>
      <c r="BZ13">
        <v>1</v>
      </c>
      <c r="CA13">
        <v>288</v>
      </c>
      <c r="CD13" t="str">
        <f>CONCATENATE('Translate&amp;Prices&amp;Logo'!B664,"_kraby")</f>
        <v>bottom_kraby</v>
      </c>
      <c r="CE13">
        <v>1</v>
      </c>
      <c r="CF13">
        <v>0</v>
      </c>
      <c r="DN13" t="s">
        <v>452</v>
      </c>
      <c r="DO13" s="11" t="s">
        <v>98</v>
      </c>
      <c r="ED13" t="s">
        <v>3544</v>
      </c>
      <c r="EE13" t="s">
        <v>3543</v>
      </c>
      <c r="ER13" t="s">
        <v>3129</v>
      </c>
      <c r="ES13" t="s">
        <v>3129</v>
      </c>
    </row>
    <row r="14" spans="1:160">
      <c r="A14" t="str">
        <f>'Translate&amp;Prices&amp;Logo'!$B$16</f>
        <v>BRW dark stainless steel - maximum profile length 2500 mm</v>
      </c>
      <c r="B14">
        <v>1</v>
      </c>
      <c r="C14" t="s">
        <v>1122</v>
      </c>
      <c r="D14">
        <v>0</v>
      </c>
      <c r="J14" t="b">
        <f>TRUE</f>
        <v>1</v>
      </c>
      <c r="K14">
        <v>1</v>
      </c>
      <c r="AA14" t="s">
        <v>3052</v>
      </c>
      <c r="AB14" t="s">
        <v>1946</v>
      </c>
      <c r="AF14" t="s">
        <v>216</v>
      </c>
      <c r="AG14" t="s">
        <v>1905</v>
      </c>
      <c r="AY14" t="s">
        <v>1887</v>
      </c>
      <c r="AZ14" t="s">
        <v>1961</v>
      </c>
      <c r="BQ14" s="369"/>
      <c r="BY14" t="str">
        <f>'Translate&amp;Prices&amp;Logo'!$B$559</f>
        <v>Vertical (delivery is 4 weeks)</v>
      </c>
      <c r="BZ14">
        <v>2</v>
      </c>
      <c r="CA14">
        <v>320</v>
      </c>
      <c r="CD14" t="s">
        <v>1913</v>
      </c>
      <c r="CE14">
        <v>1</v>
      </c>
      <c r="CF14">
        <v>0</v>
      </c>
      <c r="DN14" t="s">
        <v>453</v>
      </c>
      <c r="DO14" s="11" t="s">
        <v>99</v>
      </c>
      <c r="ED14" t="s">
        <v>2628</v>
      </c>
      <c r="EE14" t="s">
        <v>2722</v>
      </c>
      <c r="ER14" t="s">
        <v>3130</v>
      </c>
      <c r="ES14" t="s">
        <v>3130</v>
      </c>
    </row>
    <row r="15" spans="1:160">
      <c r="A15" t="str">
        <f>'Translate&amp;Prices&amp;Logo'!$B$13</f>
        <v>BRW gold - maximum profile length 2500 mm</v>
      </c>
      <c r="B15">
        <v>1</v>
      </c>
      <c r="C15" t="s">
        <v>1122</v>
      </c>
      <c r="D15">
        <v>1</v>
      </c>
      <c r="J15" t="b">
        <f>FALSE</f>
        <v>0</v>
      </c>
      <c r="K15">
        <v>2</v>
      </c>
      <c r="AA15" t="s">
        <v>1899</v>
      </c>
      <c r="AB15" t="s">
        <v>1897</v>
      </c>
      <c r="AC15">
        <v>1</v>
      </c>
      <c r="AD15">
        <v>0</v>
      </c>
      <c r="AF15" t="s">
        <v>215</v>
      </c>
      <c r="AG15" t="s">
        <v>1907</v>
      </c>
      <c r="AY15" t="s">
        <v>3473</v>
      </c>
      <c r="BQ15" s="370"/>
      <c r="BY15" t="str">
        <f>'Translate&amp;Prices&amp;Logo'!$B$560</f>
        <v>Horizontal and vertical (delivery is 4 weeks)</v>
      </c>
      <c r="BZ15">
        <v>3</v>
      </c>
      <c r="CA15">
        <v>384</v>
      </c>
      <c r="CD15" t="s">
        <v>1914</v>
      </c>
      <c r="CE15">
        <v>1</v>
      </c>
      <c r="CF15">
        <v>0</v>
      </c>
      <c r="DN15" t="s">
        <v>2101</v>
      </c>
      <c r="DO15" s="11" t="s">
        <v>100</v>
      </c>
      <c r="ED15" t="s">
        <v>2629</v>
      </c>
      <c r="EE15" t="s">
        <v>2723</v>
      </c>
      <c r="ER15" t="s">
        <v>3131</v>
      </c>
      <c r="ES15" t="s">
        <v>3131</v>
      </c>
      <c r="FD15" s="388"/>
    </row>
    <row r="16" spans="1:160">
      <c r="A16" t="str">
        <f>'Translate&amp;Prices&amp;Logo'!$B$55</f>
        <v>BRW arany csiszolt - maximum profile length 2500 mm</v>
      </c>
      <c r="B16">
        <v>1</v>
      </c>
      <c r="C16" t="s">
        <v>1122</v>
      </c>
      <c r="D16">
        <v>0</v>
      </c>
      <c r="AA16" t="s">
        <v>1899</v>
      </c>
      <c r="AB16" t="s">
        <v>1900</v>
      </c>
      <c r="AC16">
        <v>1</v>
      </c>
      <c r="AD16">
        <v>1</v>
      </c>
      <c r="AF16" t="s">
        <v>216</v>
      </c>
      <c r="AG16" t="s">
        <v>1907</v>
      </c>
      <c r="AY16" t="s">
        <v>3473</v>
      </c>
      <c r="AZ16" t="s">
        <v>3474</v>
      </c>
      <c r="CA16">
        <v>448</v>
      </c>
      <c r="CD16" t="str">
        <f>'Translate&amp;Prices&amp;Logo'!B659</f>
        <v>StrongLift_upper</v>
      </c>
      <c r="CE16">
        <v>1</v>
      </c>
      <c r="CF16">
        <v>1</v>
      </c>
      <c r="DN16" t="s">
        <v>528</v>
      </c>
      <c r="DO16" s="11" t="s">
        <v>98</v>
      </c>
      <c r="ED16" t="s">
        <v>2630</v>
      </c>
      <c r="EE16" t="s">
        <v>2724</v>
      </c>
      <c r="ER16" t="s">
        <v>3483</v>
      </c>
      <c r="ES16" t="s">
        <v>3483</v>
      </c>
      <c r="FD16" s="388"/>
    </row>
    <row r="17" spans="1:160">
      <c r="A17" t="str">
        <f>'Translate&amp;Prices&amp;Logo'!$B$17</f>
        <v>Corleone (elox.) - maximum profile length 1500 mm</v>
      </c>
      <c r="B17">
        <v>2</v>
      </c>
      <c r="C17" t="s">
        <v>1122</v>
      </c>
      <c r="D17">
        <v>0</v>
      </c>
      <c r="E17">
        <v>3</v>
      </c>
      <c r="AA17" t="s">
        <v>1899</v>
      </c>
      <c r="AB17" t="e">
        <f>IF(Ram_2!AU7=2,"FREEspace"," ")</f>
        <v>#N/A</v>
      </c>
      <c r="AC17">
        <v>0</v>
      </c>
      <c r="AD17">
        <v>0</v>
      </c>
      <c r="AF17" t="s">
        <v>215</v>
      </c>
      <c r="AG17" t="s">
        <v>1908</v>
      </c>
      <c r="AY17" t="s">
        <v>3473</v>
      </c>
      <c r="AZ17" t="s">
        <v>3475</v>
      </c>
      <c r="CA17">
        <v>480</v>
      </c>
      <c r="CD17" t="str">
        <f>'Translate&amp;Prices&amp;Logo'!B660</f>
        <v>StrongLift_bottom</v>
      </c>
      <c r="CE17">
        <v>1</v>
      </c>
      <c r="CF17">
        <v>1</v>
      </c>
      <c r="DN17" t="s">
        <v>2210</v>
      </c>
      <c r="DO17" s="11" t="s">
        <v>99</v>
      </c>
      <c r="ED17" t="s">
        <v>2631</v>
      </c>
      <c r="EE17" t="s">
        <v>2725</v>
      </c>
      <c r="ER17" t="s">
        <v>3485</v>
      </c>
      <c r="ES17" t="s">
        <v>3485</v>
      </c>
      <c r="FD17" s="388"/>
    </row>
    <row r="18" spans="1:160">
      <c r="A18" t="str">
        <f>'Translate&amp;Prices&amp;Logo'!$B$18</f>
        <v>Corleone black matt - maximum profile length 1500 mm</v>
      </c>
      <c r="B18">
        <v>2</v>
      </c>
      <c r="C18" t="s">
        <v>1122</v>
      </c>
      <c r="D18">
        <v>0</v>
      </c>
      <c r="E18">
        <v>3</v>
      </c>
      <c r="AA18" t="s">
        <v>1899</v>
      </c>
      <c r="AB18" t="s">
        <v>1903</v>
      </c>
      <c r="AC18">
        <v>0</v>
      </c>
      <c r="AD18">
        <v>0</v>
      </c>
      <c r="AF18" t="s">
        <v>216</v>
      </c>
      <c r="AG18" t="s">
        <v>1908</v>
      </c>
      <c r="AY18" t="s">
        <v>3473</v>
      </c>
      <c r="AZ18" t="s">
        <v>3476</v>
      </c>
      <c r="BY18">
        <v>1</v>
      </c>
      <c r="CA18">
        <v>576</v>
      </c>
      <c r="CD18" t="s">
        <v>1918</v>
      </c>
      <c r="CE18">
        <v>1</v>
      </c>
      <c r="CF18">
        <v>0</v>
      </c>
      <c r="DN18" t="s">
        <v>2211</v>
      </c>
      <c r="DO18" s="11" t="s">
        <v>100</v>
      </c>
      <c r="ED18" t="s">
        <v>2632</v>
      </c>
      <c r="EE18" t="s">
        <v>2726</v>
      </c>
      <c r="ER18" t="s">
        <v>3487</v>
      </c>
      <c r="ES18" t="s">
        <v>3487</v>
      </c>
    </row>
    <row r="19" spans="1:160">
      <c r="A19" t="str">
        <f>'Translate&amp;Prices&amp;Logo'!$B$59</f>
        <v>ASTI black matt - maximum profile length 2150 mm</v>
      </c>
      <c r="B19">
        <v>1</v>
      </c>
      <c r="C19" t="s">
        <v>1931</v>
      </c>
      <c r="D19">
        <v>0</v>
      </c>
      <c r="AA19" t="s">
        <v>1899</v>
      </c>
      <c r="AB19" t="s">
        <v>1904</v>
      </c>
      <c r="AC19">
        <v>0</v>
      </c>
      <c r="AD19">
        <v>0</v>
      </c>
      <c r="AF19" t="s">
        <v>215</v>
      </c>
      <c r="AG19" t="s">
        <v>1910</v>
      </c>
      <c r="AY19" t="s">
        <v>3473</v>
      </c>
      <c r="AZ19" t="s">
        <v>3477</v>
      </c>
      <c r="BY19">
        <v>2</v>
      </c>
      <c r="CA19">
        <v>672</v>
      </c>
      <c r="DN19" t="s">
        <v>2563</v>
      </c>
      <c r="DO19" t="s">
        <v>98</v>
      </c>
      <c r="ED19" t="s">
        <v>2633</v>
      </c>
      <c r="EE19" t="s">
        <v>2727</v>
      </c>
      <c r="ER19" t="s">
        <v>3489</v>
      </c>
      <c r="ES19" t="s">
        <v>3489</v>
      </c>
      <c r="FD19" s="388"/>
    </row>
    <row r="20" spans="1:160">
      <c r="A20" t="str">
        <f>'Translate&amp;Prices&amp;Logo'!$B$60</f>
        <v>ASTI anthracite RAL 7021 matt - maximum profile length 2500 mm</v>
      </c>
      <c r="B20">
        <v>1</v>
      </c>
      <c r="C20" t="s">
        <v>1931</v>
      </c>
      <c r="D20">
        <v>0</v>
      </c>
      <c r="AA20" t="s">
        <v>1899</v>
      </c>
      <c r="AB20" t="s">
        <v>1906</v>
      </c>
      <c r="AC20">
        <v>0</v>
      </c>
      <c r="AD20">
        <v>0</v>
      </c>
      <c r="AF20" t="s">
        <v>216</v>
      </c>
      <c r="AG20" t="s">
        <v>1910</v>
      </c>
      <c r="AY20" t="s">
        <v>3473</v>
      </c>
      <c r="AZ20" t="s">
        <v>3478</v>
      </c>
      <c r="BY20">
        <v>3</v>
      </c>
      <c r="CA20">
        <v>736</v>
      </c>
      <c r="DN20" t="s">
        <v>2420</v>
      </c>
      <c r="DO20" t="s">
        <v>99</v>
      </c>
      <c r="ED20" t="s">
        <v>2634</v>
      </c>
      <c r="EE20" t="s">
        <v>2728</v>
      </c>
      <c r="ER20" t="s">
        <v>3491</v>
      </c>
      <c r="ES20" t="s">
        <v>3491</v>
      </c>
      <c r="FD20" s="388"/>
    </row>
    <row r="21" spans="1:160">
      <c r="A21" t="str">
        <f>'Translate&amp;Prices&amp;Logo'!$B$19</f>
        <v>Imola (elox.) - maximum profile length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3493</v>
      </c>
      <c r="ES21" t="s">
        <v>3493</v>
      </c>
    </row>
    <row r="22" spans="1:160">
      <c r="A22" t="str">
        <f>'Translate&amp;Prices&amp;Logo'!$B$20</f>
        <v>Imola black matt - maximum profile length 2500 mm</v>
      </c>
      <c r="B22">
        <v>2</v>
      </c>
      <c r="C22" t="s">
        <v>1931</v>
      </c>
      <c r="D22">
        <v>0</v>
      </c>
      <c r="AA22" t="s">
        <v>1899</v>
      </c>
      <c r="AB22" t="s">
        <v>2058</v>
      </c>
      <c r="AC22">
        <v>1</v>
      </c>
      <c r="AD22">
        <v>0</v>
      </c>
      <c r="AF22" t="s">
        <v>216</v>
      </c>
      <c r="AG22" t="s">
        <v>1911</v>
      </c>
      <c r="BY22">
        <v>5</v>
      </c>
      <c r="CA22">
        <v>832</v>
      </c>
      <c r="DN22" s="487" t="s">
        <v>4952</v>
      </c>
      <c r="DO22" s="11" t="s">
        <v>98</v>
      </c>
      <c r="ED22" t="s">
        <v>2636</v>
      </c>
      <c r="EE22" t="s">
        <v>2730</v>
      </c>
      <c r="ER22" t="s">
        <v>3132</v>
      </c>
      <c r="ES22" t="s">
        <v>3132</v>
      </c>
    </row>
    <row r="23" spans="1:160">
      <c r="A23" t="str">
        <f>'Translate&amp;Prices&amp;Logo'!$B$21</f>
        <v>Imola white matt RAL 9003 - maximum profile length 2500 mm</v>
      </c>
      <c r="B23">
        <v>2</v>
      </c>
      <c r="C23" t="s">
        <v>1931</v>
      </c>
      <c r="D23">
        <v>0</v>
      </c>
      <c r="AA23" t="s">
        <v>1899</v>
      </c>
      <c r="AB23" t="s">
        <v>1907</v>
      </c>
      <c r="AC23">
        <v>1</v>
      </c>
      <c r="AD23">
        <v>0</v>
      </c>
      <c r="AF23" t="s">
        <v>215</v>
      </c>
      <c r="AG23" t="s">
        <v>1912</v>
      </c>
      <c r="BY23">
        <v>6</v>
      </c>
      <c r="CA23">
        <v>960</v>
      </c>
      <c r="DN23" s="487" t="s">
        <v>4953</v>
      </c>
      <c r="DO23" s="11" t="s">
        <v>99</v>
      </c>
      <c r="ED23" t="s">
        <v>2637</v>
      </c>
      <c r="EE23" t="s">
        <v>2731</v>
      </c>
      <c r="ER23" t="s">
        <v>3133</v>
      </c>
      <c r="ES23" t="s">
        <v>3133</v>
      </c>
    </row>
    <row r="24" spans="1:160">
      <c r="A24" t="str">
        <f>'Translate&amp;Prices&amp;Logo'!$B$45</f>
        <v>Imola gold - maximum profile length 2150 mm</v>
      </c>
      <c r="B24">
        <v>2</v>
      </c>
      <c r="C24" t="s">
        <v>1931</v>
      </c>
      <c r="D24">
        <v>0</v>
      </c>
      <c r="AF24" t="s">
        <v>216</v>
      </c>
      <c r="AG24" t="s">
        <v>1912</v>
      </c>
      <c r="BY24">
        <v>7</v>
      </c>
      <c r="DN24" s="487" t="s">
        <v>4954</v>
      </c>
      <c r="DO24" s="11" t="s">
        <v>100</v>
      </c>
      <c r="ED24" t="s">
        <v>2638</v>
      </c>
      <c r="EE24" t="s">
        <v>2732</v>
      </c>
      <c r="ER24" t="s">
        <v>3134</v>
      </c>
      <c r="ES24" t="s">
        <v>3134</v>
      </c>
    </row>
    <row r="25" spans="1:160">
      <c r="A25" t="str">
        <f>'Translate&amp;Prices&amp;Logo'!$B$22</f>
        <v>Modena (elox.) - maximum profile length 2500 mm</v>
      </c>
      <c r="B25">
        <v>2</v>
      </c>
      <c r="C25" t="s">
        <v>1122</v>
      </c>
      <c r="D25">
        <v>0</v>
      </c>
      <c r="AF25" t="s">
        <v>215</v>
      </c>
      <c r="AG25" t="s">
        <v>1913</v>
      </c>
      <c r="BY25">
        <v>8</v>
      </c>
      <c r="ED25" t="s">
        <v>2639</v>
      </c>
      <c r="EE25" t="s">
        <v>2733</v>
      </c>
      <c r="ER25" t="s">
        <v>3139</v>
      </c>
      <c r="ES25" t="s">
        <v>3139</v>
      </c>
    </row>
    <row r="26" spans="1:160">
      <c r="A26" t="str">
        <f>'Translate&amp;Prices&amp;Logo'!$B$23</f>
        <v>Modena black matt - maximum profile length 2500 mm</v>
      </c>
      <c r="B26">
        <v>2</v>
      </c>
      <c r="C26" t="s">
        <v>1122</v>
      </c>
      <c r="D26">
        <v>0</v>
      </c>
      <c r="AF26" t="s">
        <v>216</v>
      </c>
      <c r="AG26" t="s">
        <v>1913</v>
      </c>
      <c r="BY26">
        <v>9</v>
      </c>
      <c r="ED26" t="s">
        <v>2640</v>
      </c>
      <c r="EE26" t="s">
        <v>2734</v>
      </c>
      <c r="ER26" t="s">
        <v>3140</v>
      </c>
      <c r="ES26" t="s">
        <v>3140</v>
      </c>
    </row>
    <row r="27" spans="1:160">
      <c r="A27" t="str">
        <f>'Translate&amp;Prices&amp;Logo'!$B$25</f>
        <v>black black brushed - maximum profile length 2500 mm</v>
      </c>
      <c r="B27">
        <v>2</v>
      </c>
      <c r="C27" t="s">
        <v>1122</v>
      </c>
      <c r="D27">
        <v>0</v>
      </c>
      <c r="AF27" t="s">
        <v>215</v>
      </c>
      <c r="AG27" t="s">
        <v>1914</v>
      </c>
      <c r="BY27">
        <v>10</v>
      </c>
      <c r="ED27" t="s">
        <v>2641</v>
      </c>
      <c r="EE27" t="s">
        <v>2735</v>
      </c>
      <c r="ER27" t="s">
        <v>3141</v>
      </c>
      <c r="ES27" t="s">
        <v>3141</v>
      </c>
    </row>
    <row r="28" spans="1:160">
      <c r="A28" t="str">
        <f>'Translate&amp;Prices&amp;Logo'!$B$26</f>
        <v>Modena dark stainless steel brushed - maximum profile length 2500 mm</v>
      </c>
      <c r="B28">
        <v>2</v>
      </c>
      <c r="C28" t="s">
        <v>1122</v>
      </c>
      <c r="D28">
        <v>0</v>
      </c>
      <c r="AA28" t="s">
        <v>3053</v>
      </c>
      <c r="AB28" t="s">
        <v>1945</v>
      </c>
      <c r="AF28" t="s">
        <v>216</v>
      </c>
      <c r="AG28" t="s">
        <v>1914</v>
      </c>
      <c r="ED28" t="s">
        <v>2642</v>
      </c>
      <c r="EE28" t="s">
        <v>2736</v>
      </c>
      <c r="ER28" t="s">
        <v>3494</v>
      </c>
      <c r="ES28" t="s">
        <v>3494</v>
      </c>
    </row>
    <row r="29" spans="1:160">
      <c r="A29" t="str">
        <f>'Translate&amp;Prices&amp;Logo'!$B$29</f>
        <v>Pisa (elox.) - maximum profile length 2500 mm</v>
      </c>
      <c r="B29">
        <v>2</v>
      </c>
      <c r="C29" t="s">
        <v>1122</v>
      </c>
      <c r="D29">
        <v>0</v>
      </c>
      <c r="AA29" t="s">
        <v>1909</v>
      </c>
      <c r="AB29" t="s">
        <v>1908</v>
      </c>
      <c r="AC29">
        <v>1</v>
      </c>
      <c r="AD29">
        <v>0</v>
      </c>
      <c r="AF29" t="s">
        <v>215</v>
      </c>
      <c r="AG29" t="s">
        <v>1915</v>
      </c>
      <c r="ED29" t="s">
        <v>2643</v>
      </c>
      <c r="EE29" t="s">
        <v>2737</v>
      </c>
      <c r="ER29" t="s">
        <v>3495</v>
      </c>
      <c r="ES29" t="s">
        <v>3495</v>
      </c>
    </row>
    <row r="30" spans="1:160">
      <c r="A30" t="str">
        <f>'Translate&amp;Prices&amp;Logo'!$B$52</f>
        <v>Pisa white matt RAL 9003 - maximum profile length 2500 mm</v>
      </c>
      <c r="B30">
        <v>2</v>
      </c>
      <c r="C30" t="s">
        <v>1122</v>
      </c>
      <c r="D30">
        <v>0</v>
      </c>
      <c r="AA30" t="s">
        <v>1909</v>
      </c>
      <c r="AB30" t="str">
        <f>CONCATENATE('Translate&amp;Prices&amp;Logo'!B664,"_K12")</f>
        <v>bottom_K12</v>
      </c>
      <c r="AC30">
        <v>1</v>
      </c>
      <c r="AD30">
        <v>0</v>
      </c>
      <c r="AF30" t="s">
        <v>216</v>
      </c>
      <c r="AG30" t="s">
        <v>1915</v>
      </c>
      <c r="ED30" t="s">
        <v>2644</v>
      </c>
      <c r="EE30" t="s">
        <v>2738</v>
      </c>
      <c r="ER30" t="s">
        <v>3496</v>
      </c>
      <c r="ES30" t="s">
        <v>3496</v>
      </c>
    </row>
    <row r="31" spans="1:160">
      <c r="A31" t="str">
        <f>'Translate&amp;Prices&amp;Logo'!$B$53</f>
        <v>Pisa white gloss RAL 9003 - maximum profile length 2500 mm</v>
      </c>
      <c r="B31">
        <v>2</v>
      </c>
      <c r="C31" t="s">
        <v>1931</v>
      </c>
      <c r="D31">
        <v>0</v>
      </c>
      <c r="AA31" t="s">
        <v>1909</v>
      </c>
      <c r="AB31" t="s">
        <v>1911</v>
      </c>
      <c r="AC31">
        <v>1</v>
      </c>
      <c r="AD31">
        <v>0</v>
      </c>
      <c r="AF31" t="s">
        <v>215</v>
      </c>
      <c r="AG31" t="s">
        <v>1916</v>
      </c>
      <c r="ED31" t="s">
        <v>2645</v>
      </c>
      <c r="EE31" t="s">
        <v>2739</v>
      </c>
      <c r="ER31" t="s">
        <v>3497</v>
      </c>
      <c r="ES31" t="s">
        <v>3497</v>
      </c>
    </row>
    <row r="32" spans="1:160">
      <c r="A32" t="str">
        <f>'Translate&amp;Prices&amp;Logo'!$B$30</f>
        <v>Pisa black matt - maximum profile length 2500 mm</v>
      </c>
      <c r="B32">
        <v>2</v>
      </c>
      <c r="C32" t="s">
        <v>1931</v>
      </c>
      <c r="D32">
        <v>0</v>
      </c>
      <c r="AA32" t="s">
        <v>1909</v>
      </c>
      <c r="AB32" t="str">
        <f>CONCATENATE('Translate&amp;Prices&amp;Logo'!B664,"_kraby")</f>
        <v>bottom_kraby</v>
      </c>
      <c r="AC32">
        <v>1</v>
      </c>
      <c r="AD32">
        <v>0</v>
      </c>
      <c r="AF32" t="s">
        <v>216</v>
      </c>
      <c r="AG32" t="s">
        <v>1916</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2646</v>
      </c>
      <c r="EE32" t="s">
        <v>2740</v>
      </c>
      <c r="ER32" t="s">
        <v>3498</v>
      </c>
      <c r="ES32" t="s">
        <v>3498</v>
      </c>
    </row>
    <row r="33" spans="1:149">
      <c r="A33" t="str">
        <f>'Translate&amp;Prices&amp;Logo'!$B$58</f>
        <v>Pisa gold - maximum profile length 2150 mm</v>
      </c>
      <c r="B33">
        <v>2</v>
      </c>
      <c r="C33" t="s">
        <v>1931</v>
      </c>
      <c r="D33">
        <v>0</v>
      </c>
      <c r="AA33" t="s">
        <v>1909</v>
      </c>
      <c r="AB33" t="s">
        <v>1913</v>
      </c>
      <c r="AC33">
        <v>1</v>
      </c>
      <c r="AD33">
        <v>0</v>
      </c>
      <c r="AF33" t="s">
        <v>215</v>
      </c>
      <c r="AG33" t="s">
        <v>1918</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2647</v>
      </c>
      <c r="EE33" t="s">
        <v>2741</v>
      </c>
      <c r="ER33" t="s">
        <v>3499</v>
      </c>
      <c r="ES33" t="s">
        <v>3499</v>
      </c>
    </row>
    <row r="34" spans="1:149">
      <c r="A34" t="str">
        <f>'Translate&amp;Prices&amp;Logo'!$B$50</f>
        <v>Rocca (elox.) - maximum profile length 2150 mm</v>
      </c>
      <c r="B34">
        <v>1</v>
      </c>
      <c r="C34" t="s">
        <v>1122</v>
      </c>
      <c r="D34">
        <v>0</v>
      </c>
      <c r="AB34" t="s">
        <v>1914</v>
      </c>
      <c r="AC34">
        <v>1</v>
      </c>
      <c r="AD34">
        <v>0</v>
      </c>
      <c r="AF34" t="s">
        <v>216</v>
      </c>
      <c r="AG34" t="s">
        <v>1918</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2648</v>
      </c>
      <c r="EE34" t="s">
        <v>2742</v>
      </c>
      <c r="ER34" t="s">
        <v>3142</v>
      </c>
      <c r="ES34" t="s">
        <v>3142</v>
      </c>
    </row>
    <row r="35" spans="1:149">
      <c r="A35" t="str">
        <f>'Translate&amp;Prices&amp;Logo'!$B$42</f>
        <v>Rocca black matt - maximum profile length 2150 mm</v>
      </c>
      <c r="B35">
        <v>1</v>
      </c>
      <c r="C35" t="s">
        <v>1122</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2649</v>
      </c>
      <c r="EE35" t="s">
        <v>2743</v>
      </c>
      <c r="ER35" t="s">
        <v>3143</v>
      </c>
      <c r="ES35" t="s">
        <v>3143</v>
      </c>
    </row>
    <row r="36" spans="1:149">
      <c r="A36" t="str">
        <f>'Translate&amp;Prices&amp;Logo'!$B$34</f>
        <v>Verona (elox.) - maximum profile length 2500 mm</v>
      </c>
      <c r="B36">
        <v>1</v>
      </c>
      <c r="C36" t="s">
        <v>1122</v>
      </c>
      <c r="D36">
        <v>0</v>
      </c>
      <c r="ED36" t="s">
        <v>2588</v>
      </c>
      <c r="EE36" t="s">
        <v>2744</v>
      </c>
      <c r="ER36" t="s">
        <v>3144</v>
      </c>
      <c r="ES36" t="s">
        <v>3144</v>
      </c>
    </row>
    <row r="37" spans="1:149">
      <c r="A37" t="str">
        <f>'Translate&amp;Prices&amp;Logo'!$B$35</f>
        <v>Verona brushed aluminium - maximum profile length 2500 mm</v>
      </c>
      <c r="B37">
        <v>1</v>
      </c>
      <c r="C37" t="s">
        <v>1122</v>
      </c>
      <c r="D37">
        <v>0</v>
      </c>
      <c r="BY37" t="s">
        <v>2298</v>
      </c>
      <c r="ED37" t="s">
        <v>2589</v>
      </c>
      <c r="EE37" t="s">
        <v>2745</v>
      </c>
      <c r="ER37" t="s">
        <v>3189</v>
      </c>
      <c r="ES37" t="s">
        <v>3183</v>
      </c>
    </row>
    <row r="38" spans="1:149">
      <c r="A38" t="str">
        <f>'Translate&amp;Prices&amp;Logo'!$B$37</f>
        <v>Verona black matt - maximum profile length 2500 mm</v>
      </c>
      <c r="B38">
        <v>1</v>
      </c>
      <c r="C38" t="s">
        <v>1122</v>
      </c>
      <c r="D38">
        <v>0</v>
      </c>
      <c r="ED38" t="s">
        <v>2590</v>
      </c>
      <c r="EE38" t="s">
        <v>2746</v>
      </c>
      <c r="ER38" t="s">
        <v>3190</v>
      </c>
      <c r="ES38" t="s">
        <v>3184</v>
      </c>
    </row>
    <row r="39" spans="1:149">
      <c r="A39" t="str">
        <f>'Translate&amp;Prices&amp;Logo'!$B$36</f>
        <v>Verona black gloss - maximum profile length 2500 mm</v>
      </c>
      <c r="B39">
        <v>1</v>
      </c>
      <c r="C39" t="s">
        <v>1122</v>
      </c>
      <c r="D39">
        <v>0</v>
      </c>
      <c r="AA39" t="s">
        <v>3537</v>
      </c>
      <c r="AB39" t="s">
        <v>3535</v>
      </c>
      <c r="ED39" t="s">
        <v>2591</v>
      </c>
      <c r="EE39" t="s">
        <v>2747</v>
      </c>
      <c r="ER39" t="s">
        <v>3191</v>
      </c>
      <c r="ES39" t="s">
        <v>3185</v>
      </c>
    </row>
    <row r="40" spans="1:149">
      <c r="A40" t="str">
        <f>'Translate&amp;Prices&amp;Logo'!$B$38</f>
        <v>Verona brown - maximum profile length 2500 mm</v>
      </c>
      <c r="B40">
        <v>1</v>
      </c>
      <c r="C40" t="s">
        <v>1122</v>
      </c>
      <c r="D40">
        <v>0</v>
      </c>
      <c r="AA40" t="s">
        <v>3537</v>
      </c>
      <c r="AB40" t="str">
        <f>'Translate&amp;Prices&amp;Logo'!B659</f>
        <v>StrongLift_upper</v>
      </c>
      <c r="AC40">
        <v>1</v>
      </c>
      <c r="AD40">
        <v>0</v>
      </c>
      <c r="ED40" t="s">
        <v>2592</v>
      </c>
      <c r="EE40" t="s">
        <v>2748</v>
      </c>
      <c r="ER40" t="s">
        <v>3192</v>
      </c>
      <c r="ES40" t="s">
        <v>3186</v>
      </c>
    </row>
    <row r="41" spans="1:149">
      <c r="A41" t="str">
        <f>'Translate&amp;Prices&amp;Logo'!$B$39</f>
        <v>Verona champagne - maximum profile length 2500 mm</v>
      </c>
      <c r="B41">
        <v>1</v>
      </c>
      <c r="C41" t="s">
        <v>1122</v>
      </c>
      <c r="D41">
        <v>0</v>
      </c>
      <c r="AB41" t="str">
        <f>'Translate&amp;Prices&amp;Logo'!B660</f>
        <v>StrongLift_bottom</v>
      </c>
      <c r="AC41">
        <v>1</v>
      </c>
      <c r="AD41">
        <v>0</v>
      </c>
      <c r="ED41" t="s">
        <v>2593</v>
      </c>
      <c r="EE41" t="s">
        <v>2749</v>
      </c>
      <c r="ER41" t="s">
        <v>3193</v>
      </c>
      <c r="ES41" t="s">
        <v>3187</v>
      </c>
    </row>
    <row r="42" spans="1:149">
      <c r="A42" t="str">
        <f>'Translate&amp;Prices&amp;Logo'!$B$40</f>
        <v>Verona dark stainless steel brushed - maximum profile length 2500 mm</v>
      </c>
      <c r="B42">
        <v>1</v>
      </c>
      <c r="C42" t="s">
        <v>1122</v>
      </c>
      <c r="D42">
        <v>0</v>
      </c>
      <c r="AA42" t="s">
        <v>3054</v>
      </c>
      <c r="AB42" t="s">
        <v>1944</v>
      </c>
      <c r="ED42" t="s">
        <v>2594</v>
      </c>
      <c r="EE42" t="s">
        <v>2750</v>
      </c>
      <c r="ER42" t="s">
        <v>3194</v>
      </c>
      <c r="ES42" t="s">
        <v>3188</v>
      </c>
    </row>
    <row r="43" spans="1:149">
      <c r="A43" t="str">
        <f>'Translate&amp;Prices&amp;Logo'!$B$41</f>
        <v>Verona light stainless steel (Acier grata) - maximum profile length 2500 mm</v>
      </c>
      <c r="B43">
        <v>1</v>
      </c>
      <c r="C43" t="s">
        <v>1122</v>
      </c>
      <c r="D43">
        <v>0</v>
      </c>
      <c r="AA43" t="s">
        <v>1917</v>
      </c>
      <c r="AB43" t="s">
        <v>2064</v>
      </c>
      <c r="AC43">
        <v>0</v>
      </c>
      <c r="AD43">
        <v>0</v>
      </c>
      <c r="ED43" t="s">
        <v>2595</v>
      </c>
      <c r="EE43" t="s">
        <v>2751</v>
      </c>
      <c r="ER43" t="s">
        <v>3508</v>
      </c>
      <c r="ES43" t="s">
        <v>3500</v>
      </c>
    </row>
    <row r="44" spans="1:149">
      <c r="A44" t="str">
        <f>'Translate&amp;Prices&amp;Logo'!$B$24</f>
        <v>Verona gold - maximum profile length 2150 mm</v>
      </c>
      <c r="B44">
        <v>1</v>
      </c>
      <c r="C44" t="s">
        <v>1122</v>
      </c>
      <c r="D44">
        <v>0</v>
      </c>
      <c r="AA44" t="s">
        <v>1917</v>
      </c>
      <c r="AB44" t="s">
        <v>1918</v>
      </c>
      <c r="AC44">
        <v>1</v>
      </c>
      <c r="AD44">
        <v>0</v>
      </c>
      <c r="ED44" t="s">
        <v>2596</v>
      </c>
      <c r="EE44" t="s">
        <v>2752</v>
      </c>
      <c r="ER44" t="s">
        <v>3509</v>
      </c>
      <c r="ES44" t="s">
        <v>3501</v>
      </c>
    </row>
    <row r="45" spans="1:149">
      <c r="A45" t="str">
        <f>'Translate&amp;Prices&amp;Logo'!$B$56</f>
        <v>Verona gold brushed - maximum profile length 2150 mm</v>
      </c>
      <c r="B45">
        <v>1</v>
      </c>
      <c r="C45" t="s">
        <v>1122</v>
      </c>
      <c r="D45">
        <v>0</v>
      </c>
      <c r="AB45" t="s">
        <v>2065</v>
      </c>
      <c r="AC45">
        <v>0</v>
      </c>
      <c r="AD45">
        <v>0</v>
      </c>
      <c r="ED45" t="s">
        <v>2597</v>
      </c>
      <c r="EE45" t="s">
        <v>2753</v>
      </c>
      <c r="ER45" t="s">
        <v>3213</v>
      </c>
      <c r="ES45" t="s">
        <v>3207</v>
      </c>
    </row>
    <row r="46" spans="1:149">
      <c r="A46" t="str">
        <f>'Translate&amp;Prices&amp;Logo'!$B$43</f>
        <v>Vivaro (elox.) - maximum profile length 2500 mm</v>
      </c>
      <c r="B46">
        <v>2</v>
      </c>
      <c r="C46" t="s">
        <v>1122</v>
      </c>
      <c r="D46">
        <v>1</v>
      </c>
      <c r="ED46" t="s">
        <v>2598</v>
      </c>
      <c r="EE46" t="s">
        <v>2754</v>
      </c>
      <c r="ER46" t="s">
        <v>3214</v>
      </c>
      <c r="ES46" t="s">
        <v>3208</v>
      </c>
    </row>
    <row r="47" spans="1:149">
      <c r="A47" t="str">
        <f>'Translate&amp;Prices&amp;Logo'!$B$44</f>
        <v>Vivaro black matt - maximum profile length 2500 mm</v>
      </c>
      <c r="B47">
        <v>2</v>
      </c>
      <c r="C47" t="s">
        <v>1122</v>
      </c>
      <c r="D47">
        <v>1</v>
      </c>
      <c r="ED47" t="s">
        <v>2599</v>
      </c>
      <c r="EE47" t="s">
        <v>2755</v>
      </c>
      <c r="ER47" t="s">
        <v>3215</v>
      </c>
      <c r="ES47" t="s">
        <v>3209</v>
      </c>
    </row>
    <row r="48" spans="1:149">
      <c r="A48" t="str">
        <f>'Translate&amp;Prices&amp;Logo'!$B$46</f>
        <v>Vivaro dark stainless steel - maximum profile length 2500 mm</v>
      </c>
      <c r="B48">
        <v>2</v>
      </c>
      <c r="C48" t="s">
        <v>1122</v>
      </c>
      <c r="D48">
        <v>0</v>
      </c>
      <c r="ED48" t="s">
        <v>2600</v>
      </c>
      <c r="EE48" t="s">
        <v>2756</v>
      </c>
      <c r="ER48" t="s">
        <v>3216</v>
      </c>
      <c r="ES48" t="s">
        <v>3210</v>
      </c>
    </row>
    <row r="49" spans="1:149">
      <c r="A49" t="str">
        <f>'Translate&amp;Prices&amp;Logo'!$B$47</f>
        <v>Vivaro white matt RAL 9003 - maximum profile length 2500 mm</v>
      </c>
      <c r="B49">
        <v>2</v>
      </c>
      <c r="C49" t="s">
        <v>1122</v>
      </c>
      <c r="D49">
        <v>0</v>
      </c>
      <c r="AA49" t="s">
        <v>3055</v>
      </c>
      <c r="AB49" t="s">
        <v>3057</v>
      </c>
      <c r="ED49" t="s">
        <v>2601</v>
      </c>
      <c r="EE49" t="s">
        <v>2757</v>
      </c>
      <c r="ER49" t="s">
        <v>3217</v>
      </c>
      <c r="ES49" t="s">
        <v>3211</v>
      </c>
    </row>
    <row r="50" spans="1:149">
      <c r="A50" t="str">
        <f>'Translate&amp;Prices&amp;Logo'!$B$48</f>
        <v>Vivaro white gloss RAL 9003 - maximum profile length 2500 mm</v>
      </c>
      <c r="B50">
        <v>2</v>
      </c>
      <c r="C50" t="s">
        <v>1122</v>
      </c>
      <c r="D50">
        <v>0</v>
      </c>
      <c r="AB50" t="s">
        <v>3408</v>
      </c>
      <c r="AC50">
        <v>0</v>
      </c>
      <c r="AD50">
        <v>0</v>
      </c>
      <c r="ED50" t="s">
        <v>2602</v>
      </c>
      <c r="EE50" t="s">
        <v>2758</v>
      </c>
      <c r="ER50" t="s">
        <v>3218</v>
      </c>
      <c r="ES50" t="s">
        <v>3212</v>
      </c>
    </row>
    <row r="51" spans="1:149">
      <c r="A51" t="str">
        <f>'Translate&amp;Prices&amp;Logo'!$B$31</f>
        <v>Vivaro gold - maximum profile length 2150 mm</v>
      </c>
      <c r="B51">
        <v>2</v>
      </c>
      <c r="C51" t="s">
        <v>1122</v>
      </c>
      <c r="D51">
        <v>1</v>
      </c>
      <c r="AB51" t="s">
        <v>3410</v>
      </c>
      <c r="AC51">
        <v>0</v>
      </c>
      <c r="AD51">
        <v>0</v>
      </c>
      <c r="ED51" t="s">
        <v>2603</v>
      </c>
      <c r="EE51" t="s">
        <v>2759</v>
      </c>
      <c r="ER51" t="s">
        <v>3510</v>
      </c>
      <c r="ES51" t="s">
        <v>3502</v>
      </c>
    </row>
    <row r="52" spans="1:149">
      <c r="A52" t="str">
        <f>'Translate&amp;Prices&amp;Logo'!$B$57</f>
        <v>Vivaro gold brushed - maximum profile length 2150 mm</v>
      </c>
      <c r="B52">
        <v>2</v>
      </c>
      <c r="C52" t="s">
        <v>1122</v>
      </c>
      <c r="D52">
        <v>0</v>
      </c>
      <c r="AB52" t="s">
        <v>3405</v>
      </c>
      <c r="AC52">
        <v>0</v>
      </c>
      <c r="AD52">
        <v>0</v>
      </c>
      <c r="ED52" t="s">
        <v>2604</v>
      </c>
      <c r="EE52" t="s">
        <v>2760</v>
      </c>
      <c r="ER52" t="s">
        <v>3511</v>
      </c>
      <c r="ES52" t="s">
        <v>3503</v>
      </c>
    </row>
    <row r="53" spans="1:149">
      <c r="A53" t="str">
        <f>'Translate&amp;Prices&amp;Logo'!$B$80</f>
        <v>Rocca elox (Left and Right) + Varna elox (Top and Bottom)</v>
      </c>
      <c r="B53">
        <v>3</v>
      </c>
      <c r="C53" t="s">
        <v>1122</v>
      </c>
      <c r="D53">
        <v>0</v>
      </c>
      <c r="AB53" t="s">
        <v>3406</v>
      </c>
      <c r="AC53">
        <v>0</v>
      </c>
      <c r="AD53">
        <v>0</v>
      </c>
      <c r="ED53" t="s">
        <v>2605</v>
      </c>
      <c r="EE53" t="s">
        <v>2761</v>
      </c>
      <c r="ER53" t="s">
        <v>3512</v>
      </c>
      <c r="ES53" t="s">
        <v>3504</v>
      </c>
    </row>
    <row r="54" spans="1:149">
      <c r="A54" t="str">
        <f>'Translate&amp;Prices&amp;Logo'!$B$81</f>
        <v>Rocca black (Left and right) + Varna black (Top and bottom)</v>
      </c>
      <c r="B54">
        <v>3</v>
      </c>
      <c r="C54" t="s">
        <v>1122</v>
      </c>
      <c r="D54">
        <v>0</v>
      </c>
      <c r="ED54" t="s">
        <v>2606</v>
      </c>
      <c r="EE54" t="s">
        <v>2762</v>
      </c>
      <c r="ER54" t="s">
        <v>3513</v>
      </c>
      <c r="ES54" t="s">
        <v>3505</v>
      </c>
    </row>
    <row r="55" spans="1:149">
      <c r="A55" t="str">
        <f>'Translate&amp;Prices&amp;Logo'!$B$71</f>
        <v>ROMA black matt  - maximum profile length 2696 mm</v>
      </c>
      <c r="B55">
        <v>1</v>
      </c>
      <c r="C55" t="s">
        <v>1122</v>
      </c>
      <c r="D55">
        <v>0</v>
      </c>
      <c r="ED55" t="s">
        <v>2607</v>
      </c>
      <c r="EE55" t="s">
        <v>2763</v>
      </c>
      <c r="ER55" t="s">
        <v>3514</v>
      </c>
      <c r="ES55" t="s">
        <v>3506</v>
      </c>
    </row>
    <row r="56" spans="1:149">
      <c r="A56" t="str">
        <f>'Translate&amp;Prices&amp;Logo'!$B$72</f>
        <v>ROMA champagne matt  - maximum profile length 2696 mm</v>
      </c>
      <c r="B56">
        <v>1</v>
      </c>
      <c r="C56" t="s">
        <v>1122</v>
      </c>
      <c r="D56">
        <v>0</v>
      </c>
      <c r="ED56" t="s">
        <v>2608</v>
      </c>
      <c r="EE56" t="s">
        <v>2764</v>
      </c>
      <c r="ER56" t="s">
        <v>3515</v>
      </c>
      <c r="ES56" t="s">
        <v>3507</v>
      </c>
    </row>
    <row r="57" spans="1:149">
      <c r="A57" t="str">
        <f>'Translate&amp;Prices&amp;Logo'!$B$73</f>
        <v>ROMA GRIP black matt  - maximum profile length 2696 mm</v>
      </c>
      <c r="B57">
        <v>1</v>
      </c>
      <c r="C57" t="s">
        <v>1122</v>
      </c>
      <c r="D57">
        <v>0</v>
      </c>
      <c r="ED57" t="s">
        <v>2609</v>
      </c>
      <c r="EE57" t="s">
        <v>2765</v>
      </c>
      <c r="ER57" t="s">
        <v>3195</v>
      </c>
      <c r="ES57" t="s">
        <v>3183</v>
      </c>
    </row>
    <row r="58" spans="1:149">
      <c r="A58" t="str">
        <f>'Translate&amp;Prices&amp;Logo'!$B$74</f>
        <v>ROMA GRIP champagne matt  - maximum profile length 2696 mm</v>
      </c>
      <c r="B58">
        <v>1</v>
      </c>
      <c r="C58" t="s">
        <v>1122</v>
      </c>
      <c r="D58">
        <v>0</v>
      </c>
      <c r="ED58" t="s">
        <v>2610</v>
      </c>
      <c r="EE58" t="s">
        <v>2766</v>
      </c>
      <c r="ER58" t="s">
        <v>3196</v>
      </c>
      <c r="ES58" t="s">
        <v>3184</v>
      </c>
    </row>
    <row r="59" spans="1:149">
      <c r="AA59" t="s">
        <v>3056</v>
      </c>
      <c r="AB59" t="s">
        <v>3058</v>
      </c>
      <c r="ED59" t="s">
        <v>2611</v>
      </c>
      <c r="EE59" t="s">
        <v>2767</v>
      </c>
      <c r="ER59" t="s">
        <v>3197</v>
      </c>
      <c r="ES59" t="s">
        <v>3185</v>
      </c>
    </row>
    <row r="60" spans="1:149">
      <c r="AB60" t="s">
        <v>1901</v>
      </c>
      <c r="AC60">
        <v>0</v>
      </c>
      <c r="AD60">
        <v>0</v>
      </c>
      <c r="ED60" t="s">
        <v>2612</v>
      </c>
      <c r="EE60" t="s">
        <v>2768</v>
      </c>
      <c r="ER60" t="s">
        <v>3198</v>
      </c>
      <c r="ES60" t="s">
        <v>3186</v>
      </c>
    </row>
    <row r="61" spans="1:149">
      <c r="AB61" t="s">
        <v>1903</v>
      </c>
      <c r="AC61">
        <v>0</v>
      </c>
      <c r="AD61">
        <v>0</v>
      </c>
      <c r="ED61" t="s">
        <v>2613</v>
      </c>
      <c r="EE61" t="s">
        <v>2769</v>
      </c>
      <c r="ER61" t="s">
        <v>3199</v>
      </c>
      <c r="ES61" t="s">
        <v>3187</v>
      </c>
    </row>
    <row r="62" spans="1:149">
      <c r="AB62" t="s">
        <v>1904</v>
      </c>
      <c r="AC62">
        <v>0</v>
      </c>
      <c r="AD62">
        <v>0</v>
      </c>
      <c r="ED62" t="s">
        <v>2614</v>
      </c>
      <c r="EE62" t="s">
        <v>2770</v>
      </c>
      <c r="ER62" t="s">
        <v>3200</v>
      </c>
      <c r="ES62" t="s">
        <v>3188</v>
      </c>
    </row>
    <row r="63" spans="1:149">
      <c r="AB63" t="s">
        <v>1906</v>
      </c>
      <c r="AC63">
        <v>0</v>
      </c>
      <c r="AD63">
        <v>0</v>
      </c>
      <c r="ED63" t="s">
        <v>2615</v>
      </c>
      <c r="EE63" t="s">
        <v>2771</v>
      </c>
      <c r="ER63" t="s">
        <v>3516</v>
      </c>
      <c r="ES63" t="s">
        <v>3500</v>
      </c>
    </row>
    <row r="64" spans="1:149">
      <c r="ED64" t="s">
        <v>2616</v>
      </c>
      <c r="EE64" t="s">
        <v>2772</v>
      </c>
      <c r="ER64" t="s">
        <v>3517</v>
      </c>
      <c r="ES64" t="s">
        <v>3501</v>
      </c>
    </row>
    <row r="65" spans="1:149">
      <c r="ED65" t="s">
        <v>2650</v>
      </c>
      <c r="EE65" t="s">
        <v>2711</v>
      </c>
      <c r="ER65" t="s">
        <v>3219</v>
      </c>
      <c r="ES65" t="s">
        <v>3207</v>
      </c>
    </row>
    <row r="66" spans="1:149">
      <c r="ED66" t="s">
        <v>2651</v>
      </c>
      <c r="EE66" t="s">
        <v>2712</v>
      </c>
      <c r="ER66" t="s">
        <v>3220</v>
      </c>
      <c r="ES66" t="s">
        <v>3208</v>
      </c>
    </row>
    <row r="67" spans="1:149">
      <c r="Q67" t="str">
        <f>'Translate&amp;Prices&amp;Logo'!$B$69</f>
        <v>BRW champagne - maximum profile length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3518</v>
      </c>
      <c r="ES71" t="s">
        <v>3502</v>
      </c>
    </row>
    <row r="72" spans="1:149">
      <c r="ED72" t="s">
        <v>2657</v>
      </c>
      <c r="EE72" t="s">
        <v>2718</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3526</v>
      </c>
      <c r="ES91" t="s">
        <v>3502</v>
      </c>
    </row>
    <row r="92" spans="134:149">
      <c r="ED92" t="s">
        <v>2675</v>
      </c>
      <c r="EE92" t="s">
        <v>2737</v>
      </c>
      <c r="ER92" t="s">
        <v>3527</v>
      </c>
      <c r="ES92" t="s">
        <v>3503</v>
      </c>
    </row>
    <row r="93" spans="134:149">
      <c r="ED93" t="s">
        <v>2676</v>
      </c>
      <c r="EE93" t="s">
        <v>2738</v>
      </c>
      <c r="ER93" t="s">
        <v>3528</v>
      </c>
      <c r="ES93" t="s">
        <v>3504</v>
      </c>
    </row>
    <row r="94" spans="134:149">
      <c r="ED94" t="s">
        <v>2677</v>
      </c>
      <c r="EE94" t="s">
        <v>2739</v>
      </c>
      <c r="ER94" t="s">
        <v>3529</v>
      </c>
      <c r="ES94" t="s">
        <v>3505</v>
      </c>
    </row>
    <row r="95" spans="134:149">
      <c r="ED95" t="s">
        <v>2678</v>
      </c>
      <c r="EE95" t="s">
        <v>2740</v>
      </c>
      <c r="ER95" t="s">
        <v>3530</v>
      </c>
      <c r="ES95" t="s">
        <v>3506</v>
      </c>
    </row>
    <row r="96" spans="134:149">
      <c r="ED96" t="s">
        <v>2679</v>
      </c>
      <c r="EE96" t="s">
        <v>2741</v>
      </c>
      <c r="ER96" t="s">
        <v>3531</v>
      </c>
      <c r="ES96" t="s">
        <v>3507</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8"/>
      <c r="ED222" t="s">
        <v>2804</v>
      </c>
      <c r="EE222" t="s">
        <v>2741</v>
      </c>
    </row>
    <row r="223" spans="124:135">
      <c r="DT223" s="338"/>
      <c r="ED223" t="s">
        <v>2805</v>
      </c>
      <c r="EE223" t="s">
        <v>2742</v>
      </c>
    </row>
    <row r="224" spans="124:135">
      <c r="DT224" s="338"/>
      <c r="ED224" t="s">
        <v>2806</v>
      </c>
      <c r="EE224" t="s">
        <v>2743</v>
      </c>
    </row>
    <row r="225" spans="124:135">
      <c r="DT225" s="338"/>
      <c r="ED225" t="s">
        <v>2807</v>
      </c>
      <c r="EE225" t="s">
        <v>2744</v>
      </c>
    </row>
    <row r="226" spans="124:135">
      <c r="DT226" s="366"/>
      <c r="ED226" t="s">
        <v>2808</v>
      </c>
      <c r="EE226" t="s">
        <v>2745</v>
      </c>
    </row>
    <row r="227" spans="124:135">
      <c r="DT227" s="366"/>
      <c r="ED227" t="s">
        <v>2809</v>
      </c>
      <c r="EE227" t="s">
        <v>2746</v>
      </c>
    </row>
    <row r="228" spans="124:135">
      <c r="DT228" s="366"/>
      <c r="ED228" t="s">
        <v>2810</v>
      </c>
      <c r="EE228" t="s">
        <v>2747</v>
      </c>
    </row>
    <row r="229" spans="124:135">
      <c r="DT229" s="366"/>
      <c r="ED229" t="s">
        <v>2811</v>
      </c>
      <c r="EE229" t="s">
        <v>2748</v>
      </c>
    </row>
    <row r="230" spans="124:135">
      <c r="DT230" s="365"/>
      <c r="ED230" t="s">
        <v>2812</v>
      </c>
      <c r="EE230" t="s">
        <v>2749</v>
      </c>
    </row>
    <row r="231" spans="124:135">
      <c r="DT231" s="365"/>
      <c r="ED231" t="s">
        <v>2813</v>
      </c>
      <c r="EE231" t="s">
        <v>2750</v>
      </c>
    </row>
    <row r="232" spans="124:135">
      <c r="DT232" s="365"/>
      <c r="ED232" t="s">
        <v>2814</v>
      </c>
      <c r="EE232" t="s">
        <v>2751</v>
      </c>
    </row>
    <row r="233" spans="124:135">
      <c r="DT233" s="365"/>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5"/>
      <c r="ED238" t="s">
        <v>2820</v>
      </c>
      <c r="EE238" t="s">
        <v>2757</v>
      </c>
    </row>
    <row r="239" spans="124:135">
      <c r="DT239" s="365"/>
      <c r="ED239" t="s">
        <v>2821</v>
      </c>
      <c r="EE239" t="s">
        <v>2758</v>
      </c>
    </row>
    <row r="240" spans="124:135">
      <c r="DT240" s="365"/>
      <c r="ED240" t="s">
        <v>2822</v>
      </c>
      <c r="EE240" t="s">
        <v>2759</v>
      </c>
    </row>
    <row r="241" spans="124:135">
      <c r="DT241" s="365"/>
      <c r="ED241" t="s">
        <v>2823</v>
      </c>
      <c r="EE241" t="s">
        <v>2760</v>
      </c>
    </row>
    <row r="242" spans="124:135">
      <c r="DT242" s="351"/>
      <c r="ED242" t="s">
        <v>2824</v>
      </c>
      <c r="EE242" t="s">
        <v>2761</v>
      </c>
    </row>
    <row r="243" spans="124:135">
      <c r="ED243" t="s">
        <v>2825</v>
      </c>
      <c r="EE243" t="s">
        <v>2762</v>
      </c>
    </row>
    <row r="244" spans="124:135">
      <c r="DT244" s="351"/>
      <c r="ED244" t="s">
        <v>2826</v>
      </c>
      <c r="EE244" t="s">
        <v>2763</v>
      </c>
    </row>
    <row r="245" spans="124:135">
      <c r="DT245" s="351"/>
      <c r="ED245" t="s">
        <v>2827</v>
      </c>
      <c r="EE245" t="s">
        <v>2764</v>
      </c>
    </row>
    <row r="246" spans="124:135">
      <c r="DT246" s="351"/>
      <c r="ED246" t="s">
        <v>2828</v>
      </c>
      <c r="EE246" t="s">
        <v>2765</v>
      </c>
    </row>
    <row r="247" spans="124:135">
      <c r="DT247" s="387"/>
      <c r="ED247" t="s">
        <v>2829</v>
      </c>
      <c r="EE247" t="s">
        <v>2766</v>
      </c>
    </row>
    <row r="248" spans="124:135">
      <c r="DT248" s="387"/>
      <c r="ED248" t="s">
        <v>2830</v>
      </c>
      <c r="EE248" t="s">
        <v>2767</v>
      </c>
    </row>
    <row r="249" spans="124:135">
      <c r="DT249" s="387"/>
      <c r="ED249" t="s">
        <v>2831</v>
      </c>
      <c r="EE249" t="s">
        <v>2768</v>
      </c>
    </row>
    <row r="250" spans="124:135">
      <c r="DT250" s="387"/>
      <c r="ED250" t="s">
        <v>2832</v>
      </c>
      <c r="EE250" t="s">
        <v>2769</v>
      </c>
    </row>
    <row r="251" spans="124:135">
      <c r="DT251" s="387"/>
      <c r="ED251" t="s">
        <v>2833</v>
      </c>
      <c r="EE251" t="s">
        <v>2770</v>
      </c>
    </row>
    <row r="252" spans="124:135">
      <c r="DT252" s="387"/>
      <c r="ED252" t="s">
        <v>2834</v>
      </c>
      <c r="EE252" t="s">
        <v>2771</v>
      </c>
    </row>
    <row r="253" spans="124:135">
      <c r="DT253" s="387"/>
      <c r="ED253" t="s">
        <v>2835</v>
      </c>
      <c r="EE253" t="s">
        <v>2772</v>
      </c>
    </row>
    <row r="254" spans="124:135">
      <c r="DT254" s="387"/>
      <c r="ED254" t="s">
        <v>2836</v>
      </c>
      <c r="EE254" t="s">
        <v>2711</v>
      </c>
    </row>
    <row r="255" spans="124:135">
      <c r="DT255" s="387"/>
      <c r="ED255" t="s">
        <v>2837</v>
      </c>
      <c r="EE255" t="s">
        <v>2712</v>
      </c>
    </row>
    <row r="256" spans="124:135">
      <c r="DT256" s="387"/>
      <c r="ED256" t="s">
        <v>2838</v>
      </c>
      <c r="EE256" t="s">
        <v>2713</v>
      </c>
    </row>
    <row r="257" spans="118:135">
      <c r="ED257" t="s">
        <v>2839</v>
      </c>
      <c r="EE257" t="s">
        <v>2714</v>
      </c>
    </row>
    <row r="258" spans="118:135">
      <c r="ED258" t="s">
        <v>2840</v>
      </c>
      <c r="EE258" t="s">
        <v>2715</v>
      </c>
    </row>
    <row r="259" spans="118:135">
      <c r="DN259" s="351"/>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6"/>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8"/>
      <c r="DU292" s="365"/>
      <c r="ED292" t="s">
        <v>2874</v>
      </c>
      <c r="EE292" t="s">
        <v>2748</v>
      </c>
    </row>
    <row r="293" spans="124:135">
      <c r="DT293" s="338"/>
      <c r="DU293" s="365"/>
      <c r="ED293" t="s">
        <v>2875</v>
      </c>
      <c r="EE293" t="s">
        <v>2749</v>
      </c>
    </row>
    <row r="294" spans="124:135">
      <c r="DT294" s="338"/>
      <c r="DU294" s="365"/>
      <c r="ED294" t="s">
        <v>2876</v>
      </c>
      <c r="EE294" t="s">
        <v>2750</v>
      </c>
    </row>
    <row r="295" spans="124:135">
      <c r="DT295" s="338"/>
      <c r="DU295" s="365"/>
      <c r="ED295" t="s">
        <v>2877</v>
      </c>
      <c r="EE295" t="s">
        <v>2751</v>
      </c>
    </row>
    <row r="296" spans="124:135">
      <c r="DT296" s="366"/>
      <c r="DU296" s="365"/>
      <c r="ED296" t="s">
        <v>2878</v>
      </c>
      <c r="EE296" t="s">
        <v>2752</v>
      </c>
    </row>
    <row r="297" spans="124:135">
      <c r="DT297" s="366"/>
      <c r="DU297" s="365"/>
      <c r="ED297" t="s">
        <v>2879</v>
      </c>
      <c r="EE297" t="s">
        <v>2753</v>
      </c>
    </row>
    <row r="298" spans="124:135">
      <c r="DT298" s="366"/>
      <c r="DU298" s="365"/>
      <c r="ED298" t="s">
        <v>2880</v>
      </c>
      <c r="EE298" t="s">
        <v>2754</v>
      </c>
    </row>
    <row r="299" spans="124:135">
      <c r="DT299" s="366"/>
      <c r="DU299" s="365"/>
      <c r="ED299" t="s">
        <v>2881</v>
      </c>
      <c r="EE299" t="s">
        <v>2755</v>
      </c>
    </row>
    <row r="300" spans="124:135">
      <c r="DT300" s="365"/>
      <c r="DU300" s="365"/>
      <c r="ED300" t="s">
        <v>2882</v>
      </c>
      <c r="EE300" t="s">
        <v>2756</v>
      </c>
    </row>
    <row r="301" spans="124:135">
      <c r="DT301" s="365"/>
      <c r="DU301" s="365"/>
      <c r="ED301" t="s">
        <v>2883</v>
      </c>
      <c r="EE301" t="s">
        <v>2757</v>
      </c>
    </row>
    <row r="302" spans="124:135">
      <c r="DT302" s="365"/>
      <c r="DU302" s="365"/>
      <c r="ED302" t="s">
        <v>2884</v>
      </c>
      <c r="EE302" t="s">
        <v>2758</v>
      </c>
    </row>
    <row r="303" spans="124:135">
      <c r="DT303" s="365"/>
      <c r="DU303" s="365"/>
      <c r="ED303" t="s">
        <v>2885</v>
      </c>
      <c r="EE303" t="s">
        <v>2759</v>
      </c>
    </row>
    <row r="304" spans="124:135">
      <c r="DT304" s="168"/>
      <c r="DU304" s="365"/>
      <c r="ED304" t="s">
        <v>2886</v>
      </c>
      <c r="EE304" t="s">
        <v>2760</v>
      </c>
    </row>
    <row r="305" spans="124:135">
      <c r="DT305" s="168"/>
      <c r="DU305" s="365"/>
      <c r="ED305" t="s">
        <v>2887</v>
      </c>
      <c r="EE305" t="s">
        <v>2761</v>
      </c>
    </row>
    <row r="306" spans="124:135">
      <c r="DT306" s="168"/>
      <c r="DU306" s="365"/>
      <c r="ED306" t="s">
        <v>2888</v>
      </c>
      <c r="EE306" t="s">
        <v>2762</v>
      </c>
    </row>
    <row r="307" spans="124:135">
      <c r="DT307" s="168"/>
      <c r="DU307" s="365"/>
      <c r="ED307" t="s">
        <v>2889</v>
      </c>
      <c r="EE307" t="s">
        <v>2763</v>
      </c>
    </row>
    <row r="308" spans="124:135">
      <c r="DT308" s="365"/>
      <c r="DU308" s="365"/>
      <c r="ED308" t="s">
        <v>2890</v>
      </c>
      <c r="EE308" t="s">
        <v>2764</v>
      </c>
    </row>
    <row r="309" spans="124:135">
      <c r="DT309" s="365"/>
      <c r="DU309" s="365"/>
      <c r="ED309" t="s">
        <v>2891</v>
      </c>
      <c r="EE309" t="s">
        <v>2765</v>
      </c>
    </row>
    <row r="310" spans="124:135">
      <c r="DT310" s="365"/>
      <c r="DU310" s="365"/>
      <c r="ED310" t="s">
        <v>2892</v>
      </c>
      <c r="EE310" t="s">
        <v>2766</v>
      </c>
    </row>
    <row r="311" spans="124:135">
      <c r="DT311" s="365"/>
      <c r="DU311" s="365"/>
      <c r="ED311" t="s">
        <v>2893</v>
      </c>
      <c r="EE311" t="s">
        <v>2767</v>
      </c>
    </row>
    <row r="312" spans="124:135">
      <c r="DT312" s="387"/>
      <c r="DU312" s="387"/>
      <c r="ED312" t="s">
        <v>2894</v>
      </c>
      <c r="EE312" t="s">
        <v>2768</v>
      </c>
    </row>
    <row r="313" spans="124:135">
      <c r="DT313" s="387"/>
      <c r="DU313" s="387"/>
      <c r="ED313" t="s">
        <v>2895</v>
      </c>
      <c r="EE313" t="s">
        <v>2769</v>
      </c>
    </row>
    <row r="314" spans="124:135">
      <c r="DT314" s="387"/>
      <c r="DU314" s="387"/>
      <c r="ED314" t="s">
        <v>2896</v>
      </c>
      <c r="EE314" t="s">
        <v>2770</v>
      </c>
    </row>
    <row r="315" spans="124:135">
      <c r="DT315" s="387"/>
      <c r="DU315" s="387"/>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6" t="s">
        <v>3590</v>
      </c>
      <c r="EE331" t="s">
        <v>3588</v>
      </c>
    </row>
    <row r="332" spans="134:135">
      <c r="ED332" t="s">
        <v>3591</v>
      </c>
      <c r="EE332" t="s">
        <v>3589</v>
      </c>
    </row>
    <row r="333" spans="134:135">
      <c r="ED333" t="s">
        <v>3689</v>
      </c>
      <c r="EE333" t="s">
        <v>3690</v>
      </c>
    </row>
    <row r="334" spans="134:135">
      <c r="ED334" t="s">
        <v>3691</v>
      </c>
      <c r="EE334" t="s">
        <v>3692</v>
      </c>
    </row>
    <row r="335" spans="134:135">
      <c r="ED335" t="s">
        <v>3693</v>
      </c>
      <c r="EE335" t="s">
        <v>3694</v>
      </c>
    </row>
    <row r="336" spans="134:135">
      <c r="ED336" t="s">
        <v>3695</v>
      </c>
      <c r="EE336" t="s">
        <v>3696</v>
      </c>
    </row>
    <row r="337" spans="134:135">
      <c r="ED337" t="s">
        <v>3697</v>
      </c>
      <c r="EE337" t="s">
        <v>3698</v>
      </c>
    </row>
    <row r="338" spans="134:135">
      <c r="ED338" t="s">
        <v>3699</v>
      </c>
      <c r="EE338" t="s">
        <v>3700</v>
      </c>
    </row>
    <row r="339" spans="134:135">
      <c r="ED339" t="s">
        <v>3701</v>
      </c>
      <c r="EE339" t="s">
        <v>3702</v>
      </c>
    </row>
    <row r="340" spans="134:135">
      <c r="ED340" t="s">
        <v>3703</v>
      </c>
      <c r="EE340" t="s">
        <v>3704</v>
      </c>
    </row>
    <row r="341" spans="134:135">
      <c r="ED341" t="s">
        <v>3705</v>
      </c>
      <c r="EE341" t="s">
        <v>3706</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8"/>
      <c r="ED353" t="s">
        <v>3728</v>
      </c>
      <c r="EE353" t="s">
        <v>3729</v>
      </c>
    </row>
    <row r="354" spans="127:135">
      <c r="DW354" s="338"/>
      <c r="ED354" t="s">
        <v>3730</v>
      </c>
      <c r="EE354" t="s">
        <v>3731</v>
      </c>
    </row>
    <row r="355" spans="127:135">
      <c r="DW355" s="338"/>
      <c r="ED355" t="s">
        <v>3732</v>
      </c>
      <c r="EE355" t="s">
        <v>3733</v>
      </c>
    </row>
    <row r="356" spans="127:135">
      <c r="DW356" s="338"/>
      <c r="ED356" t="s">
        <v>3734</v>
      </c>
      <c r="EE356" t="s">
        <v>3735</v>
      </c>
    </row>
    <row r="357" spans="127:135">
      <c r="DW357" s="338"/>
      <c r="ED357" t="s">
        <v>3736</v>
      </c>
      <c r="EE357" t="s">
        <v>3737</v>
      </c>
    </row>
    <row r="358" spans="127:135">
      <c r="DW358" s="338"/>
      <c r="ED358" t="s">
        <v>3738</v>
      </c>
      <c r="EE358" t="s">
        <v>3739</v>
      </c>
    </row>
    <row r="359" spans="127:135">
      <c r="DW359" s="168"/>
      <c r="ED359" t="s">
        <v>3740</v>
      </c>
      <c r="EE359" t="s">
        <v>3741</v>
      </c>
    </row>
    <row r="360" spans="127:135">
      <c r="DW360" s="338"/>
      <c r="ED360" t="s">
        <v>3742</v>
      </c>
      <c r="EE360" t="s">
        <v>3743</v>
      </c>
    </row>
    <row r="361" spans="127:135">
      <c r="DW361" s="338"/>
      <c r="ED361" t="s">
        <v>3744</v>
      </c>
      <c r="EE361" t="s">
        <v>3745</v>
      </c>
    </row>
    <row r="362" spans="127:135">
      <c r="DW362" s="338"/>
      <c r="ED362" t="s">
        <v>3746</v>
      </c>
      <c r="EE362" t="s">
        <v>3747</v>
      </c>
    </row>
    <row r="363" spans="127:135">
      <c r="DW363" s="338"/>
      <c r="ED363" t="s">
        <v>3748</v>
      </c>
      <c r="EE363" t="s">
        <v>3749</v>
      </c>
    </row>
    <row r="364" spans="127:135">
      <c r="ED364" t="s">
        <v>3750</v>
      </c>
      <c r="EE364" t="s">
        <v>3751</v>
      </c>
    </row>
    <row r="365" spans="127:135">
      <c r="ED365" t="s">
        <v>3752</v>
      </c>
      <c r="EE365" t="s">
        <v>3753</v>
      </c>
    </row>
    <row r="366" spans="127:135">
      <c r="ED366" t="s">
        <v>3754</v>
      </c>
      <c r="EE366" t="s">
        <v>3755</v>
      </c>
    </row>
    <row r="367" spans="127:135">
      <c r="ED367" t="s">
        <v>3756</v>
      </c>
      <c r="EE367" t="s">
        <v>3757</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3690</v>
      </c>
    </row>
    <row r="399" spans="134:135">
      <c r="ED399" t="s">
        <v>3819</v>
      </c>
      <c r="EE399" t="s">
        <v>3692</v>
      </c>
    </row>
    <row r="400" spans="134:135">
      <c r="ED400" t="s">
        <v>3820</v>
      </c>
      <c r="EE400" t="s">
        <v>3694</v>
      </c>
    </row>
    <row r="401" spans="128:135">
      <c r="ED401" t="s">
        <v>3821</v>
      </c>
      <c r="EE401" t="s">
        <v>3696</v>
      </c>
    </row>
    <row r="402" spans="128:135">
      <c r="ED402" t="s">
        <v>3822</v>
      </c>
      <c r="EE402" t="s">
        <v>3698</v>
      </c>
    </row>
    <row r="403" spans="128:135">
      <c r="ED403" t="s">
        <v>3823</v>
      </c>
      <c r="EE403" t="s">
        <v>3700</v>
      </c>
    </row>
    <row r="404" spans="128:135">
      <c r="ED404" t="s">
        <v>3824</v>
      </c>
      <c r="EE404" t="s">
        <v>3702</v>
      </c>
    </row>
    <row r="405" spans="128:135">
      <c r="ED405" t="s">
        <v>3825</v>
      </c>
      <c r="EE405" t="s">
        <v>3704</v>
      </c>
    </row>
    <row r="406" spans="128:135">
      <c r="ED406" t="s">
        <v>3826</v>
      </c>
      <c r="EE406" t="s">
        <v>3706</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6"/>
      <c r="ED414" t="s">
        <v>3834</v>
      </c>
      <c r="EE414" t="s">
        <v>3722</v>
      </c>
    </row>
    <row r="415" spans="128:135">
      <c r="DX415" s="286"/>
      <c r="ED415" t="s">
        <v>3835</v>
      </c>
      <c r="EE415" t="s">
        <v>3724</v>
      </c>
    </row>
    <row r="416" spans="128:135">
      <c r="DX416" s="286"/>
      <c r="ED416" t="s">
        <v>3836</v>
      </c>
      <c r="EE416" t="s">
        <v>3726</v>
      </c>
    </row>
    <row r="417" spans="128:135">
      <c r="DX417" s="286"/>
      <c r="ED417" t="s">
        <v>3837</v>
      </c>
      <c r="EE417" t="s">
        <v>3727</v>
      </c>
    </row>
    <row r="418" spans="128:135">
      <c r="DX418" s="286"/>
      <c r="ED418" t="s">
        <v>3688</v>
      </c>
      <c r="EE418" t="s">
        <v>3729</v>
      </c>
    </row>
    <row r="419" spans="128:135">
      <c r="ED419" t="s">
        <v>3838</v>
      </c>
      <c r="EE419" t="s">
        <v>3731</v>
      </c>
    </row>
    <row r="420" spans="128:135">
      <c r="ED420" t="s">
        <v>3839</v>
      </c>
      <c r="EE420" t="s">
        <v>3733</v>
      </c>
    </row>
    <row r="421" spans="128:135">
      <c r="ED421" t="s">
        <v>3840</v>
      </c>
      <c r="EE421" t="s">
        <v>3735</v>
      </c>
    </row>
    <row r="422" spans="128:135">
      <c r="ED422" t="s">
        <v>3841</v>
      </c>
      <c r="EE422" t="s">
        <v>3737</v>
      </c>
    </row>
    <row r="423" spans="128:135">
      <c r="ED423" t="s">
        <v>3842</v>
      </c>
      <c r="EE423" t="s">
        <v>3739</v>
      </c>
    </row>
    <row r="424" spans="128:135">
      <c r="ED424" t="s">
        <v>3843</v>
      </c>
      <c r="EE424" t="s">
        <v>3741</v>
      </c>
    </row>
    <row r="425" spans="128:135">
      <c r="ED425" t="s">
        <v>3844</v>
      </c>
      <c r="EE425" t="s">
        <v>3743</v>
      </c>
    </row>
    <row r="426" spans="128:135">
      <c r="ED426" t="s">
        <v>3845</v>
      </c>
      <c r="EE426" t="s">
        <v>3745</v>
      </c>
    </row>
    <row r="427" spans="128:135">
      <c r="ED427" t="s">
        <v>3846</v>
      </c>
      <c r="EE427" t="s">
        <v>3747</v>
      </c>
    </row>
    <row r="428" spans="128:135">
      <c r="ED428" t="s">
        <v>3847</v>
      </c>
      <c r="EE428" t="s">
        <v>3749</v>
      </c>
    </row>
    <row r="429" spans="128:135">
      <c r="ED429" t="s">
        <v>3848</v>
      </c>
      <c r="EE429" t="s">
        <v>3751</v>
      </c>
    </row>
    <row r="430" spans="128:135">
      <c r="ED430" t="s">
        <v>3849</v>
      </c>
      <c r="EE430" t="s">
        <v>3753</v>
      </c>
    </row>
    <row r="431" spans="128:135">
      <c r="ED431" t="s">
        <v>3850</v>
      </c>
      <c r="EE431" t="s">
        <v>3755</v>
      </c>
    </row>
    <row r="432" spans="128:135">
      <c r="ED432" t="s">
        <v>3851</v>
      </c>
      <c r="EE432" t="s">
        <v>3757</v>
      </c>
    </row>
    <row r="433" spans="134:135">
      <c r="ED433" t="s">
        <v>3852</v>
      </c>
      <c r="EE433" t="s">
        <v>3759</v>
      </c>
    </row>
    <row r="434" spans="134:135">
      <c r="ED434" t="s">
        <v>3853</v>
      </c>
      <c r="EE434" t="s">
        <v>3761</v>
      </c>
    </row>
    <row r="435" spans="134:135">
      <c r="ED435" t="s">
        <v>3854</v>
      </c>
      <c r="EE435" t="s">
        <v>3763</v>
      </c>
    </row>
    <row r="436" spans="134:135">
      <c r="ED436" t="s">
        <v>3855</v>
      </c>
      <c r="EE436" t="s">
        <v>3765</v>
      </c>
    </row>
    <row r="437" spans="134:135">
      <c r="ED437" t="s">
        <v>3856</v>
      </c>
      <c r="EE437" t="s">
        <v>3767</v>
      </c>
    </row>
    <row r="438" spans="134:135">
      <c r="ED438" t="s">
        <v>3857</v>
      </c>
      <c r="EE438" t="s">
        <v>3769</v>
      </c>
    </row>
    <row r="439" spans="134:135">
      <c r="ED439" t="s">
        <v>3858</v>
      </c>
      <c r="EE439" t="s">
        <v>3771</v>
      </c>
    </row>
    <row r="440" spans="134:135">
      <c r="ED440" t="s">
        <v>3859</v>
      </c>
      <c r="EE440" t="s">
        <v>3773</v>
      </c>
    </row>
    <row r="441" spans="134:135">
      <c r="ED441" t="s">
        <v>3860</v>
      </c>
      <c r="EE441" t="s">
        <v>3775</v>
      </c>
    </row>
    <row r="442" spans="134:135">
      <c r="ED442" t="s">
        <v>3861</v>
      </c>
      <c r="EE442" t="s">
        <v>3777</v>
      </c>
    </row>
    <row r="443" spans="134:135">
      <c r="ED443" t="s">
        <v>3862</v>
      </c>
      <c r="EE443" t="s">
        <v>3779</v>
      </c>
    </row>
    <row r="444" spans="134:135">
      <c r="ED444" t="s">
        <v>3863</v>
      </c>
      <c r="EE444" t="s">
        <v>3781</v>
      </c>
    </row>
    <row r="445" spans="134:135">
      <c r="ED445" t="s">
        <v>3864</v>
      </c>
      <c r="EE445" t="s">
        <v>3783</v>
      </c>
    </row>
    <row r="446" spans="134:135">
      <c r="ED446" t="s">
        <v>3865</v>
      </c>
      <c r="EE446" t="s">
        <v>3785</v>
      </c>
    </row>
    <row r="447" spans="134:135">
      <c r="ED447" t="s">
        <v>3866</v>
      </c>
      <c r="EE447" t="s">
        <v>3787</v>
      </c>
    </row>
    <row r="448" spans="134:135">
      <c r="ED448" t="s">
        <v>3867</v>
      </c>
      <c r="EE448" t="s">
        <v>3789</v>
      </c>
    </row>
    <row r="449" spans="134:135">
      <c r="ED449" t="s">
        <v>3868</v>
      </c>
      <c r="EE449" t="s">
        <v>3791</v>
      </c>
    </row>
    <row r="450" spans="134:135">
      <c r="ED450" t="s">
        <v>3869</v>
      </c>
      <c r="EE450" t="s">
        <v>3793</v>
      </c>
    </row>
    <row r="451" spans="134:135">
      <c r="ED451" t="s">
        <v>3870</v>
      </c>
      <c r="EE451" t="s">
        <v>3795</v>
      </c>
    </row>
    <row r="452" spans="134:135">
      <c r="ED452" t="s">
        <v>3871</v>
      </c>
      <c r="EE452" t="s">
        <v>3797</v>
      </c>
    </row>
    <row r="453" spans="134:135">
      <c r="ED453" t="s">
        <v>3872</v>
      </c>
      <c r="EE453" t="s">
        <v>3799</v>
      </c>
    </row>
    <row r="454" spans="134:135">
      <c r="ED454" t="s">
        <v>3873</v>
      </c>
      <c r="EE454" t="s">
        <v>3801</v>
      </c>
    </row>
    <row r="455" spans="134:135">
      <c r="ED455" t="s">
        <v>3874</v>
      </c>
      <c r="EE455" t="s">
        <v>3803</v>
      </c>
    </row>
    <row r="456" spans="134:135">
      <c r="ED456" t="s">
        <v>3875</v>
      </c>
      <c r="EE456" t="s">
        <v>3805</v>
      </c>
    </row>
    <row r="457" spans="134:135">
      <c r="ED457" t="s">
        <v>3876</v>
      </c>
      <c r="EE457" t="s">
        <v>3807</v>
      </c>
    </row>
    <row r="458" spans="134:135">
      <c r="ED458" t="s">
        <v>3877</v>
      </c>
      <c r="EE458" t="s">
        <v>3809</v>
      </c>
    </row>
    <row r="459" spans="134:135">
      <c r="ED459" t="s">
        <v>3878</v>
      </c>
      <c r="EE459" t="s">
        <v>3811</v>
      </c>
    </row>
    <row r="460" spans="134:135">
      <c r="ED460" t="s">
        <v>3879</v>
      </c>
      <c r="EE460" t="s">
        <v>3813</v>
      </c>
    </row>
    <row r="461" spans="134:135">
      <c r="ED461" t="s">
        <v>3880</v>
      </c>
      <c r="EE461" t="s">
        <v>3815</v>
      </c>
    </row>
    <row r="462" spans="134:135">
      <c r="ED462" t="s">
        <v>3881</v>
      </c>
      <c r="EE462" t="s">
        <v>3817</v>
      </c>
    </row>
    <row r="463" spans="134:135">
      <c r="ED463" t="s">
        <v>3690</v>
      </c>
      <c r="EE463" t="s">
        <v>3690</v>
      </c>
    </row>
    <row r="464" spans="134:135">
      <c r="ED464" t="s">
        <v>3692</v>
      </c>
      <c r="EE464" t="s">
        <v>3692</v>
      </c>
    </row>
    <row r="465" spans="134:135">
      <c r="ED465" t="s">
        <v>3694</v>
      </c>
      <c r="EE465" t="s">
        <v>3694</v>
      </c>
    </row>
    <row r="466" spans="134:135">
      <c r="ED466" t="s">
        <v>3696</v>
      </c>
      <c r="EE466" t="s">
        <v>3696</v>
      </c>
    </row>
    <row r="467" spans="134:135">
      <c r="ED467" t="s">
        <v>3698</v>
      </c>
      <c r="EE467" t="s">
        <v>3698</v>
      </c>
    </row>
    <row r="468" spans="134:135">
      <c r="ED468" t="s">
        <v>3700</v>
      </c>
      <c r="EE468" t="s">
        <v>3700</v>
      </c>
    </row>
    <row r="469" spans="134:135">
      <c r="ED469" t="s">
        <v>3702</v>
      </c>
      <c r="EE469" t="s">
        <v>3702</v>
      </c>
    </row>
    <row r="470" spans="134:135">
      <c r="ED470" t="s">
        <v>3704</v>
      </c>
      <c r="EE470" t="s">
        <v>3704</v>
      </c>
    </row>
    <row r="471" spans="134:135">
      <c r="ED471" t="s">
        <v>3706</v>
      </c>
      <c r="EE471" t="s">
        <v>3706</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3733</v>
      </c>
    </row>
    <row r="486" spans="134:135">
      <c r="ED486" t="s">
        <v>3735</v>
      </c>
      <c r="EE486" t="s">
        <v>3735</v>
      </c>
    </row>
    <row r="487" spans="134:135">
      <c r="ED487" t="s">
        <v>3737</v>
      </c>
      <c r="EE487" t="s">
        <v>3737</v>
      </c>
    </row>
    <row r="488" spans="134:135">
      <c r="ED488" t="s">
        <v>3739</v>
      </c>
      <c r="EE488" t="s">
        <v>3739</v>
      </c>
    </row>
    <row r="489" spans="134:135">
      <c r="ED489" t="s">
        <v>3741</v>
      </c>
      <c r="EE489" t="s">
        <v>3741</v>
      </c>
    </row>
    <row r="490" spans="134:135">
      <c r="ED490" t="s">
        <v>3743</v>
      </c>
      <c r="EE490" t="s">
        <v>3743</v>
      </c>
    </row>
    <row r="491" spans="134:135">
      <c r="ED491" t="s">
        <v>3745</v>
      </c>
      <c r="EE491" t="s">
        <v>3745</v>
      </c>
    </row>
    <row r="492" spans="134:135">
      <c r="ED492" t="s">
        <v>3747</v>
      </c>
      <c r="EE492" t="s">
        <v>3747</v>
      </c>
    </row>
    <row r="493" spans="134:135">
      <c r="ED493" t="s">
        <v>3749</v>
      </c>
      <c r="EE493" t="s">
        <v>3749</v>
      </c>
    </row>
    <row r="494" spans="134:135">
      <c r="ED494" t="s">
        <v>3751</v>
      </c>
      <c r="EE494" t="s">
        <v>3751</v>
      </c>
    </row>
    <row r="495" spans="134:135">
      <c r="ED495" t="s">
        <v>3753</v>
      </c>
      <c r="EE495" t="s">
        <v>3753</v>
      </c>
    </row>
    <row r="496" spans="134:135">
      <c r="ED496" t="s">
        <v>3755</v>
      </c>
      <c r="EE496" t="s">
        <v>3755</v>
      </c>
    </row>
    <row r="497" spans="124:135">
      <c r="DT497" s="351"/>
      <c r="ED497" t="s">
        <v>3757</v>
      </c>
      <c r="EE497" t="s">
        <v>3757</v>
      </c>
    </row>
    <row r="498" spans="124:135">
      <c r="DT498" s="351"/>
      <c r="ED498" t="s">
        <v>3759</v>
      </c>
      <c r="EE498" t="s">
        <v>3759</v>
      </c>
    </row>
    <row r="499" spans="124:135">
      <c r="DT499" s="351"/>
      <c r="ED499" t="s">
        <v>3761</v>
      </c>
      <c r="EE499" t="s">
        <v>3761</v>
      </c>
    </row>
    <row r="500" spans="124:135">
      <c r="DT500" s="351"/>
      <c r="ED500" t="s">
        <v>3763</v>
      </c>
      <c r="EE500" t="s">
        <v>3763</v>
      </c>
    </row>
    <row r="501" spans="124:135">
      <c r="DT501" s="351"/>
      <c r="ED501" t="s">
        <v>3765</v>
      </c>
      <c r="EE501" t="s">
        <v>3765</v>
      </c>
    </row>
    <row r="502" spans="124:135">
      <c r="DT502" s="351"/>
      <c r="ED502" t="s">
        <v>3767</v>
      </c>
      <c r="EE502" t="s">
        <v>3767</v>
      </c>
    </row>
    <row r="503" spans="124:135">
      <c r="DT503" s="351"/>
      <c r="ED503" t="s">
        <v>3769</v>
      </c>
      <c r="EE503" t="s">
        <v>3769</v>
      </c>
    </row>
    <row r="504" spans="124:135">
      <c r="DT504" s="351"/>
      <c r="ED504" t="s">
        <v>3771</v>
      </c>
      <c r="EE504" t="s">
        <v>3771</v>
      </c>
    </row>
    <row r="505" spans="124:135">
      <c r="DT505" s="286"/>
      <c r="ED505" t="s">
        <v>3773</v>
      </c>
      <c r="EE505" t="s">
        <v>3773</v>
      </c>
    </row>
    <row r="506" spans="124:135">
      <c r="DT506" s="352"/>
      <c r="ED506" t="s">
        <v>3775</v>
      </c>
      <c r="EE506" t="s">
        <v>3775</v>
      </c>
    </row>
    <row r="507" spans="124:135">
      <c r="DT507" s="352"/>
      <c r="ED507" t="s">
        <v>3777</v>
      </c>
      <c r="EE507" t="s">
        <v>3777</v>
      </c>
    </row>
    <row r="508" spans="124:135">
      <c r="DT508" s="352"/>
      <c r="ED508" t="s">
        <v>3779</v>
      </c>
      <c r="EE508" t="s">
        <v>3779</v>
      </c>
    </row>
    <row r="509" spans="124:135">
      <c r="DT509" s="352"/>
      <c r="ED509" t="s">
        <v>3781</v>
      </c>
      <c r="EE509" t="s">
        <v>3781</v>
      </c>
    </row>
    <row r="510" spans="124:135">
      <c r="DT510" s="352"/>
      <c r="ED510" t="s">
        <v>3783</v>
      </c>
      <c r="EE510" t="s">
        <v>3783</v>
      </c>
    </row>
    <row r="511" spans="124:135">
      <c r="DT511" s="352"/>
      <c r="ED511" t="s">
        <v>3785</v>
      </c>
      <c r="EE511" t="s">
        <v>3785</v>
      </c>
    </row>
    <row r="512" spans="124:135">
      <c r="DT512" s="352"/>
      <c r="ED512" t="s">
        <v>3787</v>
      </c>
      <c r="EE512" t="s">
        <v>3787</v>
      </c>
    </row>
    <row r="513" spans="124:135">
      <c r="DT513" s="352"/>
      <c r="ED513" t="s">
        <v>3789</v>
      </c>
      <c r="EE513" t="s">
        <v>3789</v>
      </c>
    </row>
    <row r="514" spans="124:135">
      <c r="DT514" s="352"/>
      <c r="ED514" t="s">
        <v>3791</v>
      </c>
      <c r="EE514" t="s">
        <v>3791</v>
      </c>
    </row>
    <row r="515" spans="124:135">
      <c r="DT515" s="352"/>
      <c r="ED515" t="s">
        <v>3793</v>
      </c>
      <c r="EE515" t="s">
        <v>3793</v>
      </c>
    </row>
    <row r="516" spans="124:135">
      <c r="DT516" s="352"/>
      <c r="ED516" t="s">
        <v>3795</v>
      </c>
      <c r="EE516" t="s">
        <v>3795</v>
      </c>
    </row>
    <row r="517" spans="124:135">
      <c r="DT517" s="352"/>
      <c r="ED517" t="s">
        <v>3797</v>
      </c>
      <c r="EE517" t="s">
        <v>3797</v>
      </c>
    </row>
    <row r="518" spans="124:135">
      <c r="DT518" s="352"/>
      <c r="ED518" t="s">
        <v>3799</v>
      </c>
      <c r="EE518" t="s">
        <v>3799</v>
      </c>
    </row>
    <row r="519" spans="124:135">
      <c r="DT519" s="351"/>
      <c r="DU519" s="351"/>
      <c r="ED519" t="s">
        <v>3801</v>
      </c>
      <c r="EE519" t="s">
        <v>3801</v>
      </c>
    </row>
    <row r="520" spans="124:135">
      <c r="DT520" s="351"/>
      <c r="DU520" s="351"/>
      <c r="ED520" t="s">
        <v>3803</v>
      </c>
      <c r="EE520" t="s">
        <v>3803</v>
      </c>
    </row>
    <row r="521" spans="124:135">
      <c r="DT521" s="351"/>
      <c r="DU521" s="351"/>
      <c r="ED521" t="s">
        <v>3805</v>
      </c>
      <c r="EE521" t="s">
        <v>3805</v>
      </c>
    </row>
    <row r="522" spans="124:135">
      <c r="DT522" s="352"/>
      <c r="DU522" s="352"/>
      <c r="ED522" t="s">
        <v>3807</v>
      </c>
      <c r="EE522" t="s">
        <v>3807</v>
      </c>
    </row>
    <row r="523" spans="124:135">
      <c r="DT523" s="352"/>
      <c r="DU523" s="352"/>
      <c r="ED523" t="s">
        <v>3809</v>
      </c>
      <c r="EE523" t="s">
        <v>3809</v>
      </c>
    </row>
    <row r="524" spans="124:135">
      <c r="DT524" s="352"/>
      <c r="DU524" s="352"/>
      <c r="ED524" t="s">
        <v>3811</v>
      </c>
      <c r="EE524" t="s">
        <v>3811</v>
      </c>
    </row>
    <row r="525" spans="124:135">
      <c r="DT525" s="352"/>
      <c r="DU525" s="352"/>
      <c r="ED525" t="s">
        <v>3813</v>
      </c>
      <c r="EE525" t="s">
        <v>3813</v>
      </c>
    </row>
    <row r="526" spans="124:135">
      <c r="DT526" s="352"/>
      <c r="DU526" s="352"/>
      <c r="ED526" t="s">
        <v>3815</v>
      </c>
      <c r="EE526" t="s">
        <v>3815</v>
      </c>
    </row>
    <row r="527" spans="124:135">
      <c r="DT527" s="352"/>
      <c r="DU527" s="352"/>
      <c r="ED527" t="s">
        <v>3817</v>
      </c>
      <c r="EE527" t="s">
        <v>3817</v>
      </c>
    </row>
    <row r="528" spans="124:135">
      <c r="DT528" s="352"/>
      <c r="DU528" s="352"/>
      <c r="ED528" t="s">
        <v>3882</v>
      </c>
      <c r="EE528" t="s">
        <v>3690</v>
      </c>
    </row>
    <row r="529" spans="124:135">
      <c r="DT529" s="352"/>
      <c r="DU529" s="352"/>
      <c r="ED529" t="s">
        <v>3883</v>
      </c>
      <c r="EE529" t="s">
        <v>3692</v>
      </c>
    </row>
    <row r="530" spans="124:135">
      <c r="DT530" s="352"/>
      <c r="DU530" s="352"/>
      <c r="ED530" t="s">
        <v>3884</v>
      </c>
      <c r="EE530" t="s">
        <v>3694</v>
      </c>
    </row>
    <row r="531" spans="124:135">
      <c r="DT531" s="353"/>
      <c r="DU531" s="353"/>
      <c r="ED531" t="s">
        <v>3885</v>
      </c>
      <c r="EE531" t="s">
        <v>3696</v>
      </c>
    </row>
    <row r="532" spans="124:135">
      <c r="DT532" s="351"/>
      <c r="DU532" s="351"/>
      <c r="ED532" t="s">
        <v>3886</v>
      </c>
      <c r="EE532" t="s">
        <v>3698</v>
      </c>
    </row>
    <row r="533" spans="124:135">
      <c r="DT533" s="351"/>
      <c r="DU533" s="351"/>
      <c r="ED533" t="s">
        <v>3887</v>
      </c>
      <c r="EE533" t="s">
        <v>3700</v>
      </c>
    </row>
    <row r="534" spans="124:135">
      <c r="DT534" s="351"/>
      <c r="ED534" t="s">
        <v>3888</v>
      </c>
      <c r="EE534" t="s">
        <v>3702</v>
      </c>
    </row>
    <row r="535" spans="124:135">
      <c r="DT535" s="351"/>
      <c r="ED535" t="s">
        <v>3889</v>
      </c>
      <c r="EE535" t="s">
        <v>3704</v>
      </c>
    </row>
    <row r="536" spans="124:135">
      <c r="DT536" s="286"/>
      <c r="ED536" t="s">
        <v>3890</v>
      </c>
      <c r="EE536" t="s">
        <v>3706</v>
      </c>
    </row>
    <row r="537" spans="124:135">
      <c r="DT537" s="351"/>
      <c r="DU537" s="351"/>
      <c r="ED537" t="s">
        <v>3891</v>
      </c>
      <c r="EE537" t="s">
        <v>3708</v>
      </c>
    </row>
    <row r="538" spans="124:135">
      <c r="DT538" s="351"/>
      <c r="DU538" s="351"/>
      <c r="ED538" t="s">
        <v>3892</v>
      </c>
      <c r="EE538" t="s">
        <v>3710</v>
      </c>
    </row>
    <row r="539" spans="124:135">
      <c r="DT539" s="351"/>
      <c r="DU539" s="351"/>
      <c r="ED539" t="s">
        <v>3893</v>
      </c>
      <c r="EE539" t="s">
        <v>3712</v>
      </c>
    </row>
    <row r="540" spans="124:135">
      <c r="DT540" s="351"/>
      <c r="DU540" s="351"/>
      <c r="ED540" t="s">
        <v>3894</v>
      </c>
      <c r="EE540" t="s">
        <v>3714</v>
      </c>
    </row>
    <row r="541" spans="124:135">
      <c r="DT541" s="351"/>
      <c r="DU541" s="351"/>
      <c r="ED541" t="s">
        <v>3895</v>
      </c>
      <c r="EE541" t="s">
        <v>3716</v>
      </c>
    </row>
    <row r="542" spans="124:135">
      <c r="DT542" s="352"/>
      <c r="DU542" s="352"/>
      <c r="ED542" t="s">
        <v>3896</v>
      </c>
      <c r="EE542" t="s">
        <v>3718</v>
      </c>
    </row>
    <row r="543" spans="124:135">
      <c r="DT543" s="286"/>
      <c r="DU543" s="286"/>
      <c r="ED543" t="s">
        <v>3897</v>
      </c>
      <c r="EE543" t="s">
        <v>3720</v>
      </c>
    </row>
    <row r="544" spans="124:135">
      <c r="DT544" s="351"/>
      <c r="DU544" s="351"/>
      <c r="ED544" t="s">
        <v>3898</v>
      </c>
      <c r="EE544" t="s">
        <v>3722</v>
      </c>
    </row>
    <row r="545" spans="124:135">
      <c r="DT545" s="351"/>
      <c r="DU545" s="351"/>
      <c r="ED545" t="s">
        <v>3899</v>
      </c>
      <c r="EE545" t="s">
        <v>3724</v>
      </c>
    </row>
    <row r="546" spans="124:135">
      <c r="DT546" s="352"/>
      <c r="DU546" s="352"/>
      <c r="ED546" t="s">
        <v>3900</v>
      </c>
      <c r="EE546" t="s">
        <v>3726</v>
      </c>
    </row>
    <row r="547" spans="124:135">
      <c r="DT547" s="352"/>
      <c r="DU547" s="352"/>
      <c r="ED547" t="s">
        <v>3901</v>
      </c>
      <c r="EE547" t="s">
        <v>3727</v>
      </c>
    </row>
    <row r="548" spans="124:135">
      <c r="DT548" s="286"/>
      <c r="DU548" s="286"/>
      <c r="ED548" t="s">
        <v>3902</v>
      </c>
      <c r="EE548" t="s">
        <v>3729</v>
      </c>
    </row>
    <row r="549" spans="124:135">
      <c r="DT549" s="286"/>
      <c r="DU549" s="286"/>
      <c r="ED549" t="s">
        <v>3903</v>
      </c>
      <c r="EE549" t="s">
        <v>3731</v>
      </c>
    </row>
    <row r="550" spans="124:135">
      <c r="DT550" s="351"/>
      <c r="DU550" s="351"/>
      <c r="ED550" t="s">
        <v>3904</v>
      </c>
      <c r="EE550" t="s">
        <v>3733</v>
      </c>
    </row>
    <row r="551" spans="124:135">
      <c r="DT551" s="351"/>
      <c r="DU551" s="351"/>
      <c r="ED551" t="s">
        <v>3905</v>
      </c>
      <c r="EE551" t="s">
        <v>3735</v>
      </c>
    </row>
    <row r="552" spans="124:135">
      <c r="DT552" s="352"/>
      <c r="DU552" s="351"/>
      <c r="ED552" t="s">
        <v>3906</v>
      </c>
      <c r="EE552" t="s">
        <v>3737</v>
      </c>
    </row>
    <row r="553" spans="124:135">
      <c r="DT553" s="352"/>
      <c r="DU553" s="351"/>
      <c r="ED553" t="s">
        <v>3907</v>
      </c>
      <c r="EE553" t="s">
        <v>3739</v>
      </c>
    </row>
    <row r="554" spans="124:135">
      <c r="DT554" s="286"/>
      <c r="DU554" s="351"/>
      <c r="ED554" t="s">
        <v>3908</v>
      </c>
      <c r="EE554" t="s">
        <v>3741</v>
      </c>
    </row>
    <row r="555" spans="124:135">
      <c r="DT555" s="286"/>
      <c r="DU555" s="351"/>
      <c r="ED555" t="s">
        <v>3909</v>
      </c>
      <c r="EE555" t="s">
        <v>3743</v>
      </c>
    </row>
    <row r="556" spans="124:135">
      <c r="DT556" s="353"/>
      <c r="ED556" t="s">
        <v>3910</v>
      </c>
      <c r="EE556" t="s">
        <v>3745</v>
      </c>
    </row>
    <row r="557" spans="124:135">
      <c r="DT557" s="353"/>
      <c r="ED557" t="s">
        <v>3911</v>
      </c>
      <c r="EE557" t="s">
        <v>3747</v>
      </c>
    </row>
    <row r="558" spans="124:135">
      <c r="DT558" s="353"/>
      <c r="ED558" t="s">
        <v>3912</v>
      </c>
      <c r="EE558" t="s">
        <v>3749</v>
      </c>
    </row>
    <row r="559" spans="124:135">
      <c r="DT559" s="351"/>
      <c r="ED559" t="s">
        <v>3913</v>
      </c>
      <c r="EE559" t="s">
        <v>3751</v>
      </c>
    </row>
    <row r="560" spans="124:135">
      <c r="DT560" s="286"/>
      <c r="ED560" t="s">
        <v>3914</v>
      </c>
      <c r="EE560" t="s">
        <v>3753</v>
      </c>
    </row>
    <row r="561" spans="124:135">
      <c r="DT561" s="351"/>
      <c r="ED561" t="s">
        <v>3915</v>
      </c>
      <c r="EE561" t="s">
        <v>3755</v>
      </c>
    </row>
    <row r="562" spans="124:135">
      <c r="DT562" s="286"/>
      <c r="ED562" t="s">
        <v>3916</v>
      </c>
      <c r="EE562" t="s">
        <v>3757</v>
      </c>
    </row>
    <row r="563" spans="124:135">
      <c r="DT563" s="352"/>
      <c r="DU563" s="351"/>
      <c r="ED563" t="s">
        <v>3917</v>
      </c>
      <c r="EE563" t="s">
        <v>3759</v>
      </c>
    </row>
    <row r="564" spans="124:135">
      <c r="DT564" s="352"/>
      <c r="DU564" s="351"/>
      <c r="ED564" t="s">
        <v>3918</v>
      </c>
      <c r="EE564" t="s">
        <v>3761</v>
      </c>
    </row>
    <row r="565" spans="124:135">
      <c r="DT565" s="286"/>
      <c r="DU565" s="351"/>
      <c r="ED565" t="s">
        <v>3919</v>
      </c>
      <c r="EE565" t="s">
        <v>3763</v>
      </c>
    </row>
    <row r="566" spans="124:135">
      <c r="DT566" s="286"/>
      <c r="DU566" s="351"/>
      <c r="ED566" t="s">
        <v>3920</v>
      </c>
      <c r="EE566" t="s">
        <v>3765</v>
      </c>
    </row>
    <row r="567" spans="124:135">
      <c r="DT567" s="352"/>
      <c r="DU567" s="351"/>
      <c r="ED567" t="s">
        <v>3921</v>
      </c>
      <c r="EE567" t="s">
        <v>3767</v>
      </c>
    </row>
    <row r="568" spans="124:135">
      <c r="DT568" s="352"/>
      <c r="DU568" s="351"/>
      <c r="ED568" t="s">
        <v>3922</v>
      </c>
      <c r="EE568" t="s">
        <v>3769</v>
      </c>
    </row>
    <row r="569" spans="124:135">
      <c r="DT569" s="286"/>
      <c r="DU569" s="351"/>
      <c r="ED569" t="s">
        <v>3923</v>
      </c>
      <c r="EE569" t="s">
        <v>3771</v>
      </c>
    </row>
    <row r="570" spans="124:135">
      <c r="DT570" s="286"/>
      <c r="DU570" s="351"/>
      <c r="ED570" t="s">
        <v>3924</v>
      </c>
      <c r="EE570" t="s">
        <v>3773</v>
      </c>
    </row>
    <row r="571" spans="124:135">
      <c r="DT571" s="352"/>
      <c r="ED571" t="s">
        <v>3925</v>
      </c>
      <c r="EE571" t="s">
        <v>3775</v>
      </c>
    </row>
    <row r="572" spans="124:135">
      <c r="DT572" s="351"/>
      <c r="ED572" t="s">
        <v>3926</v>
      </c>
      <c r="EE572" t="s">
        <v>3777</v>
      </c>
    </row>
    <row r="573" spans="124:135">
      <c r="DT573" s="351"/>
      <c r="ED573" t="s">
        <v>3927</v>
      </c>
      <c r="EE573" t="s">
        <v>3779</v>
      </c>
    </row>
    <row r="574" spans="124:135">
      <c r="DT574" s="351"/>
      <c r="ED574" t="s">
        <v>3928</v>
      </c>
      <c r="EE574" t="s">
        <v>3781</v>
      </c>
    </row>
    <row r="575" spans="124:135">
      <c r="DT575" s="286"/>
      <c r="ED575" t="s">
        <v>3929</v>
      </c>
      <c r="EE575" t="s">
        <v>3783</v>
      </c>
    </row>
    <row r="576" spans="124:135">
      <c r="DT576" s="352"/>
      <c r="ED576" t="s">
        <v>3930</v>
      </c>
      <c r="EE576" t="s">
        <v>3785</v>
      </c>
    </row>
    <row r="577" spans="124:135">
      <c r="DT577" s="351"/>
      <c r="ED577" t="s">
        <v>3931</v>
      </c>
      <c r="EE577" t="s">
        <v>3787</v>
      </c>
    </row>
    <row r="578" spans="124:135">
      <c r="DT578" s="351"/>
      <c r="ED578" t="s">
        <v>3932</v>
      </c>
      <c r="EE578" t="s">
        <v>3789</v>
      </c>
    </row>
    <row r="579" spans="124:135">
      <c r="DT579" s="351"/>
      <c r="ED579" t="s">
        <v>3933</v>
      </c>
      <c r="EE579" t="s">
        <v>3791</v>
      </c>
    </row>
    <row r="580" spans="124:135">
      <c r="DT580" s="286"/>
      <c r="ED580" t="s">
        <v>3934</v>
      </c>
      <c r="EE580" t="s">
        <v>3793</v>
      </c>
    </row>
    <row r="581" spans="124:135">
      <c r="DT581" s="352"/>
      <c r="ED581" t="s">
        <v>3935</v>
      </c>
      <c r="EE581" t="s">
        <v>3795</v>
      </c>
    </row>
    <row r="582" spans="124:135">
      <c r="DT582" s="351"/>
      <c r="ED582" t="s">
        <v>3936</v>
      </c>
      <c r="EE582" t="s">
        <v>3797</v>
      </c>
    </row>
    <row r="583" spans="124:135">
      <c r="DT583" s="351"/>
      <c r="ED583" t="s">
        <v>3937</v>
      </c>
      <c r="EE583" t="s">
        <v>3799</v>
      </c>
    </row>
    <row r="584" spans="124:135">
      <c r="DT584" s="351"/>
      <c r="ED584" t="s">
        <v>3938</v>
      </c>
      <c r="EE584" t="s">
        <v>3801</v>
      </c>
    </row>
    <row r="585" spans="124:135">
      <c r="DT585" s="286"/>
      <c r="ED585" t="s">
        <v>3939</v>
      </c>
      <c r="EE585" t="s">
        <v>3803</v>
      </c>
    </row>
    <row r="586" spans="124:135">
      <c r="DT586" s="352"/>
      <c r="ED586" t="s">
        <v>3940</v>
      </c>
      <c r="EE586" t="s">
        <v>3805</v>
      </c>
    </row>
    <row r="587" spans="124:135">
      <c r="DT587" s="351"/>
      <c r="ED587" t="s">
        <v>3941</v>
      </c>
      <c r="EE587" t="s">
        <v>3807</v>
      </c>
    </row>
    <row r="588" spans="124:135">
      <c r="DT588" s="351"/>
      <c r="ED588" t="s">
        <v>3942</v>
      </c>
      <c r="EE588" t="s">
        <v>3809</v>
      </c>
    </row>
    <row r="589" spans="124:135">
      <c r="DT589" s="351"/>
      <c r="ED589" t="s">
        <v>3943</v>
      </c>
      <c r="EE589" t="s">
        <v>3811</v>
      </c>
    </row>
    <row r="590" spans="124:135">
      <c r="DT590" s="286"/>
      <c r="ED590" t="s">
        <v>3944</v>
      </c>
      <c r="EE590" t="s">
        <v>3813</v>
      </c>
    </row>
    <row r="591" spans="124:135">
      <c r="DT591" s="352"/>
      <c r="ED591" t="s">
        <v>3945</v>
      </c>
      <c r="EE591" t="s">
        <v>3815</v>
      </c>
    </row>
    <row r="592" spans="124:135">
      <c r="DT592" s="352"/>
      <c r="ED592" t="s">
        <v>3946</v>
      </c>
      <c r="EE592" t="s">
        <v>3817</v>
      </c>
    </row>
    <row r="593" spans="124:135">
      <c r="DT593" s="352"/>
      <c r="DV593" s="351"/>
      <c r="DW593" s="352"/>
      <c r="DX593" s="286"/>
      <c r="ED593" t="s">
        <v>3947</v>
      </c>
      <c r="EE593" t="s">
        <v>3690</v>
      </c>
    </row>
    <row r="594" spans="124:135">
      <c r="DT594" s="352"/>
      <c r="DV594" s="351"/>
      <c r="DW594" s="352"/>
      <c r="DX594" s="286"/>
      <c r="ED594" t="s">
        <v>3948</v>
      </c>
      <c r="EE594" t="s">
        <v>3692</v>
      </c>
    </row>
    <row r="595" spans="124:135">
      <c r="DT595" s="351"/>
      <c r="ED595" t="s">
        <v>3949</v>
      </c>
      <c r="EE595" t="s">
        <v>3694</v>
      </c>
    </row>
    <row r="596" spans="124:135">
      <c r="DT596" s="351"/>
      <c r="ED596" t="s">
        <v>3950</v>
      </c>
      <c r="EE596" t="s">
        <v>3696</v>
      </c>
    </row>
    <row r="597" spans="124:135">
      <c r="DT597" s="352"/>
      <c r="ED597" t="s">
        <v>3951</v>
      </c>
      <c r="EE597" t="s">
        <v>3698</v>
      </c>
    </row>
    <row r="598" spans="124:135">
      <c r="DT598" s="352"/>
      <c r="ED598" t="s">
        <v>3952</v>
      </c>
      <c r="EE598" t="s">
        <v>3700</v>
      </c>
    </row>
    <row r="599" spans="124:135">
      <c r="DT599" s="286"/>
      <c r="ED599" t="s">
        <v>3953</v>
      </c>
      <c r="EE599" t="s">
        <v>3702</v>
      </c>
    </row>
    <row r="600" spans="124:135">
      <c r="DT600" s="286"/>
      <c r="ED600" t="s">
        <v>3954</v>
      </c>
      <c r="EE600" t="s">
        <v>3704</v>
      </c>
    </row>
    <row r="601" spans="124:135">
      <c r="DT601" s="352"/>
      <c r="ED601" t="s">
        <v>3955</v>
      </c>
      <c r="EE601" t="s">
        <v>3706</v>
      </c>
    </row>
    <row r="602" spans="124:135">
      <c r="DT602" s="352"/>
      <c r="ED602" t="s">
        <v>3956</v>
      </c>
      <c r="EE602" t="s">
        <v>3708</v>
      </c>
    </row>
    <row r="603" spans="124:135">
      <c r="DT603" s="352"/>
      <c r="ED603" t="s">
        <v>3957</v>
      </c>
      <c r="EE603" t="s">
        <v>3710</v>
      </c>
    </row>
    <row r="604" spans="124:135">
      <c r="DT604" s="352"/>
      <c r="ED604" t="s">
        <v>3958</v>
      </c>
      <c r="EE604" t="s">
        <v>3712</v>
      </c>
    </row>
    <row r="605" spans="124:135">
      <c r="DT605" s="351"/>
      <c r="ED605" t="s">
        <v>3959</v>
      </c>
      <c r="EE605" t="s">
        <v>3714</v>
      </c>
    </row>
    <row r="606" spans="124:135">
      <c r="DT606" s="351"/>
      <c r="ED606" t="s">
        <v>3960</v>
      </c>
      <c r="EE606" t="s">
        <v>3716</v>
      </c>
    </row>
    <row r="607" spans="124:135">
      <c r="DT607" s="352"/>
      <c r="ED607" t="s">
        <v>3961</v>
      </c>
      <c r="EE607" t="s">
        <v>3718</v>
      </c>
    </row>
    <row r="608" spans="124:135">
      <c r="DT608" s="352"/>
      <c r="ED608" t="s">
        <v>3962</v>
      </c>
      <c r="EE608" t="s">
        <v>3720</v>
      </c>
    </row>
    <row r="609" spans="124:135">
      <c r="DT609" s="286"/>
      <c r="ED609" t="s">
        <v>3963</v>
      </c>
      <c r="EE609" t="s">
        <v>3722</v>
      </c>
    </row>
    <row r="610" spans="124:135">
      <c r="DT610" s="286"/>
      <c r="ED610" t="s">
        <v>3964</v>
      </c>
      <c r="EE610" t="s">
        <v>3724</v>
      </c>
    </row>
    <row r="611" spans="124:135">
      <c r="DT611" s="351"/>
      <c r="ED611" t="s">
        <v>3965</v>
      </c>
      <c r="EE611" t="s">
        <v>3726</v>
      </c>
    </row>
    <row r="612" spans="124:135">
      <c r="DT612" s="351"/>
      <c r="ED612" t="s">
        <v>3966</v>
      </c>
      <c r="EE612" t="s">
        <v>3727</v>
      </c>
    </row>
    <row r="613" spans="124:135">
      <c r="DT613" s="351"/>
      <c r="ED613" t="s">
        <v>3967</v>
      </c>
      <c r="EE613" t="s">
        <v>3729</v>
      </c>
    </row>
    <row r="614" spans="124:135">
      <c r="DT614" s="351"/>
      <c r="ED614" t="s">
        <v>3968</v>
      </c>
      <c r="EE614" t="s">
        <v>3731</v>
      </c>
    </row>
    <row r="615" spans="124:135">
      <c r="DT615" s="286"/>
      <c r="ED615" t="s">
        <v>3969</v>
      </c>
      <c r="EE615" t="s">
        <v>3733</v>
      </c>
    </row>
    <row r="616" spans="124:135">
      <c r="DT616" s="351"/>
      <c r="ED616" t="s">
        <v>3970</v>
      </c>
      <c r="EE616" t="s">
        <v>3735</v>
      </c>
    </row>
    <row r="617" spans="124:135">
      <c r="DT617" s="351"/>
      <c r="ED617" t="s">
        <v>3971</v>
      </c>
      <c r="EE617" t="s">
        <v>3737</v>
      </c>
    </row>
    <row r="618" spans="124:135">
      <c r="DT618" s="351"/>
      <c r="ED618" t="s">
        <v>3972</v>
      </c>
      <c r="EE618" t="s">
        <v>3739</v>
      </c>
    </row>
    <row r="619" spans="124:135">
      <c r="DT619" s="351"/>
      <c r="ED619" t="s">
        <v>3973</v>
      </c>
      <c r="EE619" t="s">
        <v>3741</v>
      </c>
    </row>
    <row r="620" spans="124:135">
      <c r="DT620" s="286"/>
      <c r="ED620" t="s">
        <v>3974</v>
      </c>
      <c r="EE620" t="s">
        <v>3743</v>
      </c>
    </row>
    <row r="621" spans="124:135">
      <c r="DT621" s="337"/>
      <c r="ED621" t="s">
        <v>3975</v>
      </c>
      <c r="EE621" t="s">
        <v>3745</v>
      </c>
    </row>
    <row r="622" spans="124:135">
      <c r="DT622" s="337"/>
      <c r="ED622" t="s">
        <v>3976</v>
      </c>
      <c r="EE622" t="s">
        <v>3747</v>
      </c>
    </row>
    <row r="623" spans="124:135">
      <c r="DT623" s="351"/>
      <c r="ED623" t="s">
        <v>3977</v>
      </c>
      <c r="EE623" t="s">
        <v>3749</v>
      </c>
    </row>
    <row r="624" spans="124:135">
      <c r="DT624" s="351"/>
      <c r="ED624" t="s">
        <v>3978</v>
      </c>
      <c r="EE624" t="s">
        <v>3751</v>
      </c>
    </row>
    <row r="625" spans="124:135">
      <c r="DT625" s="334"/>
      <c r="ED625" t="s">
        <v>3979</v>
      </c>
      <c r="EE625" t="s">
        <v>3753</v>
      </c>
    </row>
    <row r="626" spans="124:135">
      <c r="DT626" s="286"/>
      <c r="ED626" t="s">
        <v>3980</v>
      </c>
      <c r="EE626" t="s">
        <v>3755</v>
      </c>
    </row>
    <row r="627" spans="124:135">
      <c r="DT627" s="286"/>
      <c r="ED627" t="s">
        <v>3981</v>
      </c>
      <c r="EE627" t="s">
        <v>3757</v>
      </c>
    </row>
    <row r="628" spans="124:135">
      <c r="DT628" s="286"/>
      <c r="ED628" t="s">
        <v>3982</v>
      </c>
      <c r="EE628" t="s">
        <v>3759</v>
      </c>
    </row>
    <row r="629" spans="124:135">
      <c r="DT629" s="334"/>
      <c r="ED629" t="s">
        <v>3983</v>
      </c>
      <c r="EE629" t="s">
        <v>3761</v>
      </c>
    </row>
    <row r="630" spans="124:135">
      <c r="DT630" s="286"/>
      <c r="ED630" t="s">
        <v>3984</v>
      </c>
      <c r="EE630" t="s">
        <v>3763</v>
      </c>
    </row>
    <row r="631" spans="124:135">
      <c r="DT631" s="351"/>
      <c r="ED631" t="s">
        <v>3985</v>
      </c>
      <c r="EE631" t="s">
        <v>3765</v>
      </c>
    </row>
    <row r="632" spans="124:135">
      <c r="DT632" s="351"/>
      <c r="ED632" t="s">
        <v>3986</v>
      </c>
      <c r="EE632" t="s">
        <v>3767</v>
      </c>
    </row>
    <row r="633" spans="124:135">
      <c r="DT633" s="334"/>
      <c r="ED633" t="s">
        <v>3987</v>
      </c>
      <c r="EE633" t="s">
        <v>3769</v>
      </c>
    </row>
    <row r="634" spans="124:135">
      <c r="DT634" s="351"/>
      <c r="ED634" t="s">
        <v>3988</v>
      </c>
      <c r="EE634" t="s">
        <v>3771</v>
      </c>
    </row>
    <row r="635" spans="124:135">
      <c r="DT635" s="286"/>
      <c r="ED635" t="s">
        <v>3989</v>
      </c>
      <c r="EE635" t="s">
        <v>3773</v>
      </c>
    </row>
    <row r="636" spans="124:135">
      <c r="DT636" s="334"/>
      <c r="DU636" s="286"/>
      <c r="ED636" t="s">
        <v>3990</v>
      </c>
      <c r="EE636" t="s">
        <v>3775</v>
      </c>
    </row>
    <row r="637" spans="124:135">
      <c r="DT637" s="334"/>
      <c r="DU637" s="286"/>
      <c r="ED637" t="s">
        <v>3991</v>
      </c>
      <c r="EE637" t="s">
        <v>3777</v>
      </c>
    </row>
    <row r="638" spans="124:135">
      <c r="DT638" s="334"/>
      <c r="DU638" s="286"/>
      <c r="ED638" t="s">
        <v>3992</v>
      </c>
      <c r="EE638" t="s">
        <v>3779</v>
      </c>
    </row>
    <row r="639" spans="124:135">
      <c r="DT639" s="286"/>
      <c r="DU639" s="286"/>
      <c r="ED639" t="s">
        <v>3993</v>
      </c>
      <c r="EE639" t="s">
        <v>3781</v>
      </c>
    </row>
    <row r="640" spans="124:135">
      <c r="DT640" s="362"/>
      <c r="DU640" s="362"/>
      <c r="ED640" t="s">
        <v>3994</v>
      </c>
      <c r="EE640" t="s">
        <v>3783</v>
      </c>
    </row>
    <row r="641" spans="124:135">
      <c r="DT641" s="330"/>
      <c r="DU641" s="362"/>
      <c r="ED641" t="s">
        <v>3995</v>
      </c>
      <c r="EE641" t="s">
        <v>3785</v>
      </c>
    </row>
    <row r="642" spans="124:135">
      <c r="DT642" s="338"/>
      <c r="DU642" s="338"/>
      <c r="DX642" s="365"/>
      <c r="ED642" t="s">
        <v>3996</v>
      </c>
      <c r="EE642" t="s">
        <v>3787</v>
      </c>
    </row>
    <row r="643" spans="124:135">
      <c r="DT643" s="338"/>
      <c r="DU643" s="338"/>
      <c r="DX643" s="338"/>
      <c r="ED643" t="s">
        <v>3997</v>
      </c>
      <c r="EE643" t="s">
        <v>3789</v>
      </c>
    </row>
    <row r="644" spans="124:135">
      <c r="DT644" s="338"/>
      <c r="DU644" s="338"/>
      <c r="DX644" s="374"/>
      <c r="ED644" t="s">
        <v>3998</v>
      </c>
      <c r="EE644" t="s">
        <v>3791</v>
      </c>
    </row>
    <row r="645" spans="124:135">
      <c r="DT645" s="338"/>
      <c r="DU645" s="338"/>
      <c r="DX645" s="338"/>
      <c r="ED645" t="s">
        <v>3999</v>
      </c>
      <c r="EE645" t="s">
        <v>3793</v>
      </c>
    </row>
    <row r="646" spans="124:135">
      <c r="DT646" s="338"/>
      <c r="DU646" s="338"/>
      <c r="ED646" t="s">
        <v>4000</v>
      </c>
      <c r="EE646" t="s">
        <v>3795</v>
      </c>
    </row>
    <row r="647" spans="124:135">
      <c r="DT647" s="338"/>
      <c r="DU647" s="338"/>
      <c r="ED647" t="s">
        <v>4001</v>
      </c>
      <c r="EE647" t="s">
        <v>3797</v>
      </c>
    </row>
    <row r="648" spans="124:135">
      <c r="DT648" s="338"/>
      <c r="DU648" s="338"/>
      <c r="ED648" t="s">
        <v>4002</v>
      </c>
      <c r="EE648" t="s">
        <v>3799</v>
      </c>
    </row>
    <row r="649" spans="124:135">
      <c r="DT649" s="338"/>
      <c r="DU649" s="338"/>
      <c r="ED649" t="s">
        <v>4003</v>
      </c>
      <c r="EE649" t="s">
        <v>3801</v>
      </c>
    </row>
    <row r="650" spans="124:135">
      <c r="DT650" s="338"/>
      <c r="DU650" s="338"/>
      <c r="ED650" t="s">
        <v>4004</v>
      </c>
      <c r="EE650" t="s">
        <v>3803</v>
      </c>
    </row>
    <row r="651" spans="124:135">
      <c r="DT651" s="338"/>
      <c r="DU651" s="338"/>
      <c r="ED651" t="s">
        <v>4005</v>
      </c>
      <c r="EE651" t="s">
        <v>3805</v>
      </c>
    </row>
    <row r="652" spans="124:135">
      <c r="DT652" s="338"/>
      <c r="DU652" s="338"/>
      <c r="ED652" t="s">
        <v>4006</v>
      </c>
      <c r="EE652" t="s">
        <v>3807</v>
      </c>
    </row>
    <row r="653" spans="124:135">
      <c r="DT653" s="338"/>
      <c r="DU653" s="338"/>
      <c r="ED653" t="s">
        <v>4007</v>
      </c>
      <c r="EE653" t="s">
        <v>3809</v>
      </c>
    </row>
    <row r="654" spans="124:135">
      <c r="DT654" s="338"/>
      <c r="DU654" s="338"/>
      <c r="ED654" t="s">
        <v>4008</v>
      </c>
      <c r="EE654" t="s">
        <v>3811</v>
      </c>
    </row>
    <row r="655" spans="124:135">
      <c r="DT655" s="338"/>
      <c r="DU655" s="338"/>
      <c r="ED655" t="s">
        <v>4009</v>
      </c>
      <c r="EE655" t="s">
        <v>3813</v>
      </c>
    </row>
    <row r="656" spans="124:135">
      <c r="DT656" s="338"/>
      <c r="DU656" s="338"/>
      <c r="ED656" t="s">
        <v>4010</v>
      </c>
      <c r="EE656" t="s">
        <v>3815</v>
      </c>
    </row>
    <row r="657" spans="124:135">
      <c r="DT657" s="338"/>
      <c r="DU657" s="338"/>
      <c r="ED657" t="s">
        <v>4011</v>
      </c>
      <c r="EE657" t="s">
        <v>3817</v>
      </c>
    </row>
    <row r="658" spans="124:135">
      <c r="DT658" s="338"/>
      <c r="DU658" s="365"/>
    </row>
    <row r="659" spans="124:135">
      <c r="DT659" s="338"/>
      <c r="DU659" s="365"/>
    </row>
    <row r="660" spans="124:135">
      <c r="DT660" s="338"/>
      <c r="DU660" s="365"/>
    </row>
    <row r="661" spans="124:135">
      <c r="DT661" s="338"/>
      <c r="DU661" s="365"/>
    </row>
    <row r="662" spans="124:135">
      <c r="DT662" s="366"/>
      <c r="DU662" s="365"/>
    </row>
    <row r="663" spans="124:135">
      <c r="DT663" s="366"/>
      <c r="DU663" s="365"/>
    </row>
    <row r="664" spans="124:135">
      <c r="DT664" s="366"/>
      <c r="DU664" s="365"/>
    </row>
    <row r="665" spans="124:135">
      <c r="DT665" s="366"/>
      <c r="DU665" s="365"/>
    </row>
    <row r="666" spans="124:135">
      <c r="DT666" s="168"/>
      <c r="DU666" s="365"/>
    </row>
    <row r="667" spans="124:135">
      <c r="DT667" s="168"/>
      <c r="DU667" s="365"/>
    </row>
    <row r="668" spans="124:135">
      <c r="DT668" s="168"/>
      <c r="DU668" s="365"/>
    </row>
    <row r="669" spans="124:135">
      <c r="DT669" s="168"/>
      <c r="DU669" s="365"/>
    </row>
    <row r="670" spans="124:135">
      <c r="DT670" s="365"/>
      <c r="DU670" s="365"/>
    </row>
    <row r="671" spans="124:135">
      <c r="DT671" s="365"/>
      <c r="DU671" s="365"/>
    </row>
    <row r="672" spans="124:135">
      <c r="DT672" s="365"/>
      <c r="DU672" s="365"/>
    </row>
    <row r="673" spans="124:125">
      <c r="DT673" s="365"/>
      <c r="DU673" s="365"/>
    </row>
  </sheetData>
  <conditionalFormatting sqref="A3:A15 A17:A29 A32">
    <cfRule type="expression" dxfId="627" priority="717" stopIfTrue="1">
      <formula>AND(COUNTIF($A$35:$A$35, A3)+COUNTIF($A$3:$A$15, A3)+COUNTIF($A$17:$A$29, A3)+COUNTIF($A$32:$A$33, A3)+COUNTIF($A$37:$A$41, A3)+COUNTIF($A$43:$A$48, A3)+COUNTIF($A$50:$A$99, A3)&gt;1,NOT(ISBLANK(A3)))</formula>
    </cfRule>
  </conditionalFormatting>
  <conditionalFormatting sqref="A33 A46:A51 A55:A58 A36:A38 A40:A44 A72:A99 DW346:DW347">
    <cfRule type="expression" dxfId="626" priority="696" stopIfTrue="1">
      <formula>AND(COUNTIF($A$36:$A$38, A33)+COUNTIF($A$3:$A$15, A33)+COUNTIF($A$17:$A$31, A33)+COUNTIF($A$33:$A$34, A33)+COUNTIF($A$40:$A$44, A33)+COUNTIF($A$46:$A$51, A33)+COUNTIF($A$53:$A$99, A33)&gt;1,NOT(ISBLANK(A33)))</formula>
    </cfRule>
  </conditionalFormatting>
  <conditionalFormatting sqref="A33 A51 A55:A58">
    <cfRule type="expression" dxfId="625" priority="3" stopIfTrue="1">
      <formula>AND(COUNTIF($A$51:$A$51, A33)+COUNTIF(#REF!, A33)+COUNTIF($A$33:$A$33, A33)&gt;1,NOT(ISBLANK(A33)))</formula>
    </cfRule>
  </conditionalFormatting>
  <conditionalFormatting sqref="F14:F19">
    <cfRule type="duplicateValues" dxfId="624" priority="18"/>
  </conditionalFormatting>
  <conditionalFormatting sqref="P2:P61 P63:P65536">
    <cfRule type="expression" dxfId="623" priority="34" stopIfTrue="1">
      <formula>AND(COUNTIF($P$63:$P$65536, P2)+COUNTIF($P$2:$P$61, P2)&gt;1,NOT(ISBLANK(P2)))</formula>
    </cfRule>
  </conditionalFormatting>
  <conditionalFormatting sqref="Q2 Q4 Q6:Q12 Q15:Q20 Q22:Q23 Q26:Q54 S27:S30 Q68:Q65536">
    <cfRule type="expression" dxfId="622" priority="44" stopIfTrue="1">
      <formula>AND(COUNTIF($Q$68:$Q$65536, Q2)+COUNTIF($Q$2:$Q$2, Q2)+COUNTIF($Q$4:$Q$4, Q2)+COUNTIF($Q$6:$Q$54, Q2)&gt;1,NOT(ISBLANK(Q2)))</formula>
    </cfRule>
  </conditionalFormatting>
  <conditionalFormatting sqref="R4:R6">
    <cfRule type="duplicateValues" dxfId="621" priority="29"/>
  </conditionalFormatting>
  <conditionalFormatting sqref="R7 R9">
    <cfRule type="duplicateValues" dxfId="620" priority="41"/>
  </conditionalFormatting>
  <conditionalFormatting sqref="R10">
    <cfRule type="duplicateValues" dxfId="619" priority="28"/>
  </conditionalFormatting>
  <conditionalFormatting sqref="R11:R18 R29:R33">
    <cfRule type="duplicateValues" dxfId="618" priority="43"/>
  </conditionalFormatting>
  <conditionalFormatting sqref="R19:R20 R37:R39 R34">
    <cfRule type="duplicateValues" dxfId="617" priority="37"/>
  </conditionalFormatting>
  <conditionalFormatting sqref="R21:R23">
    <cfRule type="duplicateValues" dxfId="616" priority="27"/>
  </conditionalFormatting>
  <conditionalFormatting sqref="R49:R55">
    <cfRule type="duplicateValues" dxfId="615" priority="30"/>
  </conditionalFormatting>
  <conditionalFormatting sqref="R49:R61 R2 R63:R65536">
    <cfRule type="expression" dxfId="614" priority="33" stopIfTrue="1">
      <formula>AND(COUNTIF($R$2:$R$2, R2)+COUNTIF($R$63:$R$65536, R2)+COUNTIF($R$49:$R$61, R2)&gt;1,NOT(ISBLANK(R2)))</formula>
    </cfRule>
  </conditionalFormatting>
  <conditionalFormatting sqref="R56:R57">
    <cfRule type="duplicateValues" dxfId="613" priority="31"/>
  </conditionalFormatting>
  <conditionalFormatting sqref="R58:R61 R63">
    <cfRule type="expression" dxfId="612" priority="35" stopIfTrue="1">
      <formula>AND(COUNTIF($R$63:$R$63, R58)+COUNTIF($R$58:$R$61, R58)&gt;1,NOT(ISBLANK(R58)))</formula>
    </cfRule>
  </conditionalFormatting>
  <conditionalFormatting sqref="S4">
    <cfRule type="duplicateValues" dxfId="611" priority="26"/>
  </conditionalFormatting>
  <conditionalFormatting sqref="S6:S8 S10">
    <cfRule type="duplicateValues" dxfId="610" priority="48"/>
  </conditionalFormatting>
  <conditionalFormatting sqref="S12:S17">
    <cfRule type="duplicateValues" dxfId="609" priority="25"/>
  </conditionalFormatting>
  <conditionalFormatting sqref="S18:S19">
    <cfRule type="duplicateValues" dxfId="608" priority="24"/>
  </conditionalFormatting>
  <conditionalFormatting sqref="S20:S26">
    <cfRule type="duplicateValues" dxfId="607" priority="42"/>
  </conditionalFormatting>
  <conditionalFormatting sqref="S31:S52">
    <cfRule type="duplicateValues" dxfId="606" priority="47"/>
  </conditionalFormatting>
  <conditionalFormatting sqref="T4">
    <cfRule type="duplicateValues" dxfId="605" priority="23"/>
  </conditionalFormatting>
  <conditionalFormatting sqref="U4:U6">
    <cfRule type="duplicateValues" dxfId="604" priority="22"/>
  </conditionalFormatting>
  <conditionalFormatting sqref="U7:U14 U26:U30">
    <cfRule type="duplicateValues" dxfId="603" priority="45"/>
  </conditionalFormatting>
  <conditionalFormatting sqref="U15:U16 U31:U32">
    <cfRule type="duplicateValues" dxfId="602" priority="38"/>
  </conditionalFormatting>
  <conditionalFormatting sqref="U17:U19">
    <cfRule type="duplicateValues" dxfId="601" priority="21"/>
  </conditionalFormatting>
  <conditionalFormatting sqref="V4:V6">
    <cfRule type="duplicateValues" dxfId="600" priority="20"/>
  </conditionalFormatting>
  <conditionalFormatting sqref="V17:V19">
    <cfRule type="duplicateValues" dxfId="599" priority="19"/>
  </conditionalFormatting>
  <conditionalFormatting sqref="V21:V30 V7:V14">
    <cfRule type="duplicateValues" dxfId="598" priority="46"/>
  </conditionalFormatting>
  <conditionalFormatting sqref="V31:V32 V15:V16">
    <cfRule type="duplicateValues" dxfId="597" priority="39"/>
  </conditionalFormatting>
  <conditionalFormatting sqref="AC4:AC13 AC15:AC23 AC29:AC34 AC40:AC41 AC43:AC45 AC50:AC53 AC60:AC63">
    <cfRule type="cellIs" dxfId="596" priority="32" operator="equal">
      <formula>1</formula>
    </cfRule>
  </conditionalFormatting>
  <conditionalFormatting sqref="BQ9:BQ10">
    <cfRule type="duplicateValues" dxfId="595" priority="16"/>
  </conditionalFormatting>
  <conditionalFormatting sqref="BQ2:BR2">
    <cfRule type="duplicateValues" dxfId="594" priority="17"/>
  </conditionalFormatting>
  <conditionalFormatting sqref="DT2:DT44">
    <cfRule type="duplicateValues" dxfId="591" priority="10"/>
  </conditionalFormatting>
  <conditionalFormatting sqref="DT2:DT570">
    <cfRule type="duplicateValues" dxfId="590" priority="5"/>
  </conditionalFormatting>
  <conditionalFormatting sqref="DT45:DT87">
    <cfRule type="duplicateValues" dxfId="589" priority="8"/>
  </conditionalFormatting>
  <conditionalFormatting sqref="DT88:DT130">
    <cfRule type="duplicateValues" dxfId="588" priority="9"/>
  </conditionalFormatting>
  <conditionalFormatting sqref="DT131:DT173">
    <cfRule type="duplicateValues" dxfId="587" priority="11"/>
  </conditionalFormatting>
  <conditionalFormatting sqref="DT174:DT217">
    <cfRule type="duplicateValues" dxfId="586" priority="12"/>
  </conditionalFormatting>
  <conditionalFormatting sqref="DT257:DT287">
    <cfRule type="duplicateValues" dxfId="585" priority="15"/>
  </conditionalFormatting>
  <conditionalFormatting sqref="DU257:DU286">
    <cfRule type="duplicateValues" dxfId="584" priority="14"/>
  </conditionalFormatting>
  <conditionalFormatting sqref="DU287">
    <cfRule type="duplicateValues" dxfId="583" priority="13"/>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6" id="{3ACA994F-9E24-48DA-BB46-3E67AA93EA24}">
            <xm:f>OR(Ram_2!$AU$10=1,Ram_2!$AU$10=3)</xm:f>
            <x14:dxf>
              <fill>
                <patternFill patternType="darkDown"/>
              </fill>
            </x14:dxf>
          </x14:cfRule>
          <xm:sqref>CH13</xm:sqref>
        </x14:conditionalFormatting>
        <x14:conditionalFormatting xmlns:xm="http://schemas.microsoft.com/office/excel/2006/main">
          <x14:cfRule type="expression" priority="7" id="{22049A6E-C00A-4E20-A804-E9799CEA84B6}">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zoomScaleNormal="100" workbookViewId="0">
      <selection activeCell="H8" sqref="H8:Q8"/>
    </sheetView>
  </sheetViews>
  <sheetFormatPr defaultColWidth="0" defaultRowHeight="14.45" customHeight="1" zeroHeight="1"/>
  <cols>
    <col min="1" max="1" width="3.42578125" style="293" customWidth="1"/>
    <col min="2" max="2" width="5.5703125" style="293" customWidth="1"/>
    <col min="3" max="3" width="5.5703125" style="264" customWidth="1"/>
    <col min="4" max="4" width="14.5703125" style="264" customWidth="1"/>
    <col min="5" max="5" width="5.5703125" style="264" customWidth="1"/>
    <col min="6" max="6" width="8.7109375" style="264" customWidth="1"/>
    <col min="7" max="7" width="5.5703125" style="264" customWidth="1"/>
    <col min="8" max="8" width="6" style="264" customWidth="1"/>
    <col min="9" max="9" width="6.28515625" style="264" customWidth="1"/>
    <col min="10" max="12" width="6" style="264" customWidth="1"/>
    <col min="13" max="13" width="6.28515625" style="264" customWidth="1"/>
    <col min="14" max="16" width="6" style="264" customWidth="1"/>
    <col min="17" max="17" width="6.28515625"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65" width="0" style="264" hidden="1" customWidth="1"/>
    <col min="6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31" t="str">
        <f>'Translate&amp;Prices&amp;Logo'!$B$169&amp;" "&amp;" "&amp;3</f>
        <v>Frame  3</v>
      </c>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373"/>
      <c r="AL2" s="373"/>
      <c r="AM2" s="373"/>
      <c r="AN2" s="373"/>
      <c r="AO2" s="373"/>
      <c r="AP2" s="597" t="str">
        <f>'Translate&amp;Prices&amp;Logo'!$B$540</f>
        <v>Main page</v>
      </c>
      <c r="AQ2" s="598"/>
      <c r="AR2" s="598"/>
      <c r="AS2" s="598"/>
      <c r="AW2" s="264" t="e">
        <f>VLOOKUP(H8,'Translate&amp;Prices&amp;Logo'!B77:D82,3,0)</f>
        <v>#N/A</v>
      </c>
      <c r="AX2" s="292" t="e">
        <f>VLOOKUP(AW2,'Translate&amp;Prices&amp;Logo'!B6:D60,2,0)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31"/>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1"/>
      <c r="AG3" s="531"/>
      <c r="AH3" s="531"/>
      <c r="AI3" s="531"/>
      <c r="AJ3" s="531"/>
      <c r="AK3" s="373"/>
      <c r="AL3" s="373"/>
      <c r="AM3" s="373"/>
      <c r="AN3" s="373"/>
      <c r="AO3" s="373"/>
      <c r="AP3" s="597"/>
      <c r="AQ3" s="598"/>
      <c r="AR3" s="598"/>
      <c r="AS3" s="598"/>
      <c r="AX3" s="292" t="e">
        <f>VLOOKUP(AW2,'Translate&amp;Prices&amp;Logo'!B:D,3,0)</f>
        <v>#N/A</v>
      </c>
      <c r="AY3" s="293" t="e">
        <f>AT9+AX3</f>
        <v>#N/A</v>
      </c>
      <c r="AZ3" s="294"/>
      <c r="BA3" s="293"/>
      <c r="BB3" s="292"/>
      <c r="BC3" s="292"/>
      <c r="BD3" s="596">
        <f>(AI30/1000)*H11</f>
        <v>0</v>
      </c>
      <c r="BE3" s="596"/>
      <c r="BF3" s="596"/>
      <c r="BG3" s="596"/>
      <c r="BH3" s="596"/>
      <c r="BI3" s="596">
        <f>(AR14/1000)*M11</f>
        <v>0</v>
      </c>
      <c r="BJ3" s="596"/>
      <c r="BK3" s="596"/>
      <c r="BL3" s="596"/>
      <c r="BM3" s="596"/>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11" t="str">
        <f>IFERROR(IF(kombinace_3!FC2=TRUE,'Translate&amp;Prices&amp;Logo'!B654,IF(VLOOKUP(H8,kombinace_3!$A:$E,5,0)=3,'Translate&amp;Prices&amp;Logo'!B642,"")), "")</f>
        <v/>
      </c>
      <c r="AC4" s="611"/>
      <c r="AD4" s="611"/>
      <c r="AE4" s="611"/>
      <c r="AF4" s="611"/>
      <c r="AG4" s="611"/>
      <c r="AH4" s="611"/>
      <c r="AI4" s="611"/>
      <c r="AJ4" s="611"/>
      <c r="AK4" s="611"/>
      <c r="AL4" s="611"/>
      <c r="AM4" s="611"/>
      <c r="AN4" s="611"/>
      <c r="AO4" s="74"/>
      <c r="AP4" s="74"/>
      <c r="AQ4" s="74"/>
      <c r="AR4" s="74"/>
      <c r="AS4" s="256"/>
      <c r="AT4" s="295"/>
      <c r="AU4" s="296"/>
      <c r="AV4" s="296"/>
    </row>
    <row r="5" spans="1:65" ht="34.5" customHeight="1" thickBot="1">
      <c r="A5" s="74"/>
      <c r="B5" s="610" t="str">
        <f>'Translate&amp;Prices&amp;Logo'!$B$169&amp;" "&amp;" "&amp;1</f>
        <v>Frame  1</v>
      </c>
      <c r="C5" s="610"/>
      <c r="D5" s="610"/>
      <c r="E5" s="257"/>
      <c r="F5" s="610" t="str">
        <f>'Translate&amp;Prices&amp;Logo'!$B$169&amp;" "&amp;" "&amp;2</f>
        <v>Frame  2</v>
      </c>
      <c r="G5" s="610"/>
      <c r="H5" s="610"/>
      <c r="I5" s="74"/>
      <c r="J5" s="610" t="str">
        <f>'Translate&amp;Prices&amp;Logo'!$B$169&amp;" "&amp;" "&amp;3</f>
        <v>Frame  3</v>
      </c>
      <c r="K5" s="610"/>
      <c r="L5" s="610"/>
      <c r="M5" s="74"/>
      <c r="N5" s="610" t="str">
        <f>'Translate&amp;Prices&amp;Logo'!$B$169&amp;" "&amp;" "&amp;4</f>
        <v>Frame  4</v>
      </c>
      <c r="O5" s="610"/>
      <c r="P5" s="610"/>
      <c r="Q5" s="74"/>
      <c r="R5" s="610" t="str">
        <f>'Translate&amp;Prices&amp;Logo'!$B$169&amp;" "&amp;" "&amp;5</f>
        <v>Frame  5</v>
      </c>
      <c r="S5" s="610"/>
      <c r="T5" s="610"/>
      <c r="U5" s="74"/>
      <c r="V5" s="610" t="str">
        <f>'Translate&amp;Prices&amp;Logo'!$B$169&amp;" "&amp;" "&amp;6</f>
        <v>Frame  6</v>
      </c>
      <c r="W5" s="610"/>
      <c r="X5" s="610"/>
      <c r="Y5" s="74"/>
      <c r="Z5" s="74"/>
      <c r="AA5" s="74"/>
      <c r="AB5" s="612"/>
      <c r="AC5" s="612"/>
      <c r="AD5" s="612"/>
      <c r="AE5" s="612"/>
      <c r="AF5" s="612"/>
      <c r="AG5" s="612"/>
      <c r="AH5" s="612"/>
      <c r="AI5" s="612"/>
      <c r="AJ5" s="612"/>
      <c r="AK5" s="612"/>
      <c r="AL5" s="612"/>
      <c r="AM5" s="612"/>
      <c r="AN5" s="612"/>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13" t="str">
        <f>'Translate&amp;Prices&amp;Logo'!$B$542</f>
        <v>Combination of 2 Profiles</v>
      </c>
      <c r="C7" s="614"/>
      <c r="D7" s="614"/>
      <c r="E7" s="614"/>
      <c r="F7" s="614"/>
      <c r="G7" s="651" t="str">
        <f>IF(kombinace_3!FC2=TRUE,AB4,"")</f>
        <v/>
      </c>
      <c r="H7" s="651"/>
      <c r="I7" s="651"/>
      <c r="J7" s="651"/>
      <c r="K7" s="651"/>
      <c r="L7" s="651"/>
      <c r="M7" s="651"/>
      <c r="N7" s="651"/>
      <c r="O7" s="651"/>
      <c r="P7" s="651"/>
      <c r="Q7" s="652"/>
      <c r="R7" s="384"/>
      <c r="S7" s="618" t="str">
        <f>'Translate&amp;Prices&amp;Logo'!$B$572</f>
        <v>Warning:</v>
      </c>
      <c r="T7" s="618"/>
      <c r="U7" s="618"/>
      <c r="V7" s="74"/>
      <c r="W7" s="74"/>
      <c r="X7" s="74"/>
      <c r="Y7" s="74"/>
      <c r="Z7" s="231"/>
      <c r="AA7" s="219"/>
      <c r="AB7" s="220"/>
      <c r="AC7" s="221"/>
      <c r="AD7" s="221"/>
      <c r="AE7" s="221"/>
      <c r="AF7" s="221"/>
      <c r="AG7" s="222"/>
      <c r="AH7" s="222"/>
      <c r="AI7" s="223"/>
      <c r="AJ7" s="617">
        <v>0</v>
      </c>
      <c r="AK7" s="221"/>
      <c r="AL7" s="221"/>
      <c r="AM7" s="221"/>
      <c r="AN7" s="221"/>
      <c r="AO7" s="224"/>
      <c r="AP7" s="225"/>
      <c r="AQ7" s="468"/>
      <c r="AR7" s="74"/>
      <c r="AS7" s="74"/>
      <c r="AT7" s="292"/>
      <c r="AU7" s="299">
        <f>VLOOKUP(H8,kombinace_3!$A:$B,2,0)</f>
        <v>2</v>
      </c>
      <c r="AV7" s="293" t="str">
        <f>IF(AU7=2,"Široký",IF(AU7=1,"Úzký",IF(AU7=3,"kombo")))</f>
        <v>Široký</v>
      </c>
    </row>
    <row r="8" spans="1:65" ht="45.6" customHeight="1">
      <c r="A8" s="212"/>
      <c r="B8" s="376" t="str">
        <f>'Translate&amp;Prices&amp;Logo'!$B$653</f>
        <v>Mesh frame filler</v>
      </c>
      <c r="C8" s="377"/>
      <c r="D8" s="377"/>
      <c r="E8" s="378" t="str">
        <f>'Translate&amp;Prices&amp;Logo'!$B$172</f>
        <v>Type of profile</v>
      </c>
      <c r="F8" s="378"/>
      <c r="G8" s="383"/>
      <c r="H8" s="619"/>
      <c r="I8" s="619"/>
      <c r="J8" s="619"/>
      <c r="K8" s="619"/>
      <c r="L8" s="619"/>
      <c r="M8" s="619"/>
      <c r="N8" s="619"/>
      <c r="O8" s="619"/>
      <c r="P8" s="619"/>
      <c r="Q8" s="620"/>
      <c r="R8" s="385"/>
      <c r="S8" s="633">
        <f>IF(AU10&gt;0,'Translate&amp;Prices&amp;Logo'!B303,IF(H8=kombinace_3!A54,'Translate&amp;Prices&amp;Logo'!B580,0))</f>
        <v>0</v>
      </c>
      <c r="T8" s="634"/>
      <c r="U8" s="634"/>
      <c r="V8" s="634"/>
      <c r="W8" s="634"/>
      <c r="X8" s="634"/>
      <c r="Y8" s="635"/>
      <c r="Z8" s="231"/>
      <c r="AA8" s="227"/>
      <c r="AB8" s="74"/>
      <c r="AC8" s="616" t="str">
        <f>'Translate&amp;Prices&amp;Logo'!$B$242</f>
        <v>Distance from edge</v>
      </c>
      <c r="AD8" s="616"/>
      <c r="AE8" s="616"/>
      <c r="AF8" s="616"/>
      <c r="AG8" s="616"/>
      <c r="AH8" s="74"/>
      <c r="AI8" s="211"/>
      <c r="AJ8" s="617"/>
      <c r="AK8" s="74"/>
      <c r="AL8" s="74"/>
      <c r="AM8" s="74"/>
      <c r="AN8" s="74"/>
      <c r="AO8" s="74"/>
      <c r="AP8" s="227"/>
      <c r="AQ8" s="468"/>
      <c r="AR8" s="74"/>
      <c r="AS8" s="74"/>
      <c r="AT8" s="292" t="e">
        <f>VLOOKUP(VLOOKUP(H8,'Translate&amp;Prices&amp;Logo'!B77:C82,2,0),'Translate&amp;Prices&amp;Logo'!B6:C60,2,0)</f>
        <v>#N/A</v>
      </c>
      <c r="AU8" s="293"/>
      <c r="AV8" s="293"/>
    </row>
    <row r="9" spans="1:65" ht="15.6" customHeight="1">
      <c r="A9" s="212"/>
      <c r="B9" s="624">
        <f>IFERROR(IF(AND(VLOOKUP(H8,kombinace_3!$A:$D,4,0)=1,kombinace_3!FC2=FALSE),'Translate&amp;Prices&amp;Logo'!$B$543,0),0)</f>
        <v>0</v>
      </c>
      <c r="C9" s="625"/>
      <c r="D9" s="625"/>
      <c r="E9" s="625"/>
      <c r="F9" s="625"/>
      <c r="G9" s="249"/>
      <c r="H9" s="605"/>
      <c r="I9" s="605"/>
      <c r="J9" s="605"/>
      <c r="K9" s="605"/>
      <c r="L9" s="605"/>
      <c r="M9" s="605"/>
      <c r="N9" s="605"/>
      <c r="O9" s="605"/>
      <c r="P9" s="605"/>
      <c r="Q9" s="606"/>
      <c r="R9" s="74"/>
      <c r="S9" s="627"/>
      <c r="T9" s="628"/>
      <c r="U9" s="628"/>
      <c r="V9" s="628"/>
      <c r="W9" s="628"/>
      <c r="X9" s="628"/>
      <c r="Y9" s="629"/>
      <c r="Z9" s="231"/>
      <c r="AA9" s="228"/>
      <c r="AB9" s="74"/>
      <c r="AC9" s="621">
        <v>0</v>
      </c>
      <c r="AD9" s="621"/>
      <c r="AE9" s="226"/>
      <c r="AF9" s="615" t="str">
        <f>('Translate&amp;Prices&amp;Logo'!$B$548)&amp;" "&amp;H26&amp;" "&amp;"mm"</f>
        <v>Pitch  mm</v>
      </c>
      <c r="AG9" s="615"/>
      <c r="AH9" s="615"/>
      <c r="AI9" s="615"/>
      <c r="AJ9" s="615"/>
      <c r="AK9" s="615"/>
      <c r="AL9" s="74"/>
      <c r="AM9" s="74"/>
      <c r="AN9" s="74"/>
      <c r="AO9" s="74"/>
      <c r="AP9" s="228"/>
      <c r="AQ9" s="468"/>
      <c r="AR9" s="74"/>
      <c r="AS9" s="74"/>
      <c r="AT9" s="292" t="e">
        <f>VLOOKUP(VLOOKUP(H8,'Translate&amp;Prices&amp;Logo'!B77:C82,2,0),'Translate&amp;Prices&amp;Logo'!B6:D60,3,0)</f>
        <v>#N/A</v>
      </c>
      <c r="AU9" s="299" t="str">
        <f>IFERROR((VLOOKUP(H12,kombinace_3!$DP$2:$DQ$3,2,0)),"")</f>
        <v/>
      </c>
      <c r="AV9" s="293"/>
    </row>
    <row r="10" spans="1:65" ht="18" customHeight="1">
      <c r="A10" s="212"/>
      <c r="B10" s="258"/>
      <c r="C10" s="250"/>
      <c r="D10" s="250"/>
      <c r="E10" s="250"/>
      <c r="F10" s="250"/>
      <c r="G10" s="250"/>
      <c r="H10" s="603"/>
      <c r="I10" s="603"/>
      <c r="J10" s="603"/>
      <c r="K10" s="603"/>
      <c r="L10" s="609"/>
      <c r="M10" s="603"/>
      <c r="N10" s="603"/>
      <c r="O10" s="603"/>
      <c r="P10" s="603"/>
      <c r="Q10" s="604"/>
      <c r="R10" s="212"/>
      <c r="S10" s="627">
        <f>IF(AU10&gt;0,'Translate&amp;Prices&amp;Logo'!B571,0)</f>
        <v>0</v>
      </c>
      <c r="T10" s="628"/>
      <c r="U10" s="628"/>
      <c r="V10" s="628"/>
      <c r="W10" s="628"/>
      <c r="X10" s="628"/>
      <c r="Y10" s="629"/>
      <c r="Z10" s="231"/>
      <c r="AA10" s="228"/>
      <c r="AB10" s="74"/>
      <c r="AC10" s="74"/>
      <c r="AD10" s="622">
        <v>0</v>
      </c>
      <c r="AE10" s="663" t="str">
        <f>'Translate&amp;Prices&amp;Logo'!$B$637</f>
        <v>Distance from the top edge</v>
      </c>
      <c r="AF10" s="74"/>
      <c r="AG10" s="74"/>
      <c r="AH10" s="74"/>
      <c r="AI10" s="211"/>
      <c r="AJ10" s="212"/>
      <c r="AK10" s="74"/>
      <c r="AL10" s="74"/>
      <c r="AM10" s="74"/>
      <c r="AN10" s="74"/>
      <c r="AO10" s="74"/>
      <c r="AP10" s="228"/>
      <c r="AQ10" s="468"/>
      <c r="AR10" s="74"/>
      <c r="AS10" s="74"/>
      <c r="AT10" s="292" t="s">
        <v>2153</v>
      </c>
      <c r="AU10" s="293">
        <f>IFERROR(VLOOKUP(H9,kombinace_3!$BY$13:$BZ$15,2,0),0)</f>
        <v>0</v>
      </c>
      <c r="AV10" s="293"/>
    </row>
    <row r="11" spans="1:65" ht="18" customHeight="1">
      <c r="A11" s="212"/>
      <c r="B11" s="647" t="str">
        <f>('Translate&amp;Prices&amp;Logo'!$B$543)&amp;" "&amp;"("&amp;'Translate&amp;Prices&amp;Logo'!$B$174&amp;")"</f>
        <v>Dividing bars (Quantity)</v>
      </c>
      <c r="C11" s="648"/>
      <c r="D11" s="648"/>
      <c r="E11" s="648"/>
      <c r="F11" s="648"/>
      <c r="G11" s="249"/>
      <c r="H11" s="607"/>
      <c r="I11" s="607"/>
      <c r="J11" s="607"/>
      <c r="K11" s="607"/>
      <c r="L11" s="608"/>
      <c r="M11" s="607"/>
      <c r="N11" s="607"/>
      <c r="O11" s="607"/>
      <c r="P11" s="607"/>
      <c r="Q11" s="623"/>
      <c r="R11" s="212"/>
      <c r="S11" s="627"/>
      <c r="T11" s="628"/>
      <c r="U11" s="628"/>
      <c r="V11" s="628"/>
      <c r="W11" s="628"/>
      <c r="X11" s="628"/>
      <c r="Y11" s="629"/>
      <c r="Z11" s="231"/>
      <c r="AA11" s="229"/>
      <c r="AB11" s="230"/>
      <c r="AC11" s="74"/>
      <c r="AD11" s="622"/>
      <c r="AE11" s="663"/>
      <c r="AF11" s="74"/>
      <c r="AG11" s="74"/>
      <c r="AH11" s="74"/>
      <c r="AI11" s="211"/>
      <c r="AJ11" s="212"/>
      <c r="AK11" s="74"/>
      <c r="AL11" s="74"/>
      <c r="AM11" s="74"/>
      <c r="AN11" s="74"/>
      <c r="AO11" s="231"/>
      <c r="AP11" s="225"/>
      <c r="AQ11" s="468"/>
      <c r="AR11" s="74"/>
      <c r="AS11" s="74"/>
      <c r="AT11" s="299">
        <f>IFERROR(IF(kombinace_3!$H$1=TRUE,BA2+AY3,0),0)</f>
        <v>0</v>
      </c>
      <c r="AU11" s="299"/>
      <c r="AV11" s="293"/>
    </row>
    <row r="12" spans="1:65" ht="18" customHeight="1">
      <c r="A12" s="212"/>
      <c r="B12" s="624" t="str">
        <f>'Translate&amp;Prices&amp;Logo'!$B$258</f>
        <v>Type of fittings</v>
      </c>
      <c r="C12" s="625"/>
      <c r="D12" s="625"/>
      <c r="E12" s="625"/>
      <c r="F12" s="625"/>
      <c r="G12" s="249"/>
      <c r="H12" s="605"/>
      <c r="I12" s="605"/>
      <c r="J12" s="605"/>
      <c r="K12" s="605"/>
      <c r="L12" s="605"/>
      <c r="M12" s="605"/>
      <c r="N12" s="605"/>
      <c r="O12" s="605"/>
      <c r="P12" s="605"/>
      <c r="Q12" s="606"/>
      <c r="R12" s="212"/>
      <c r="S12" s="627"/>
      <c r="T12" s="628"/>
      <c r="U12" s="628"/>
      <c r="V12" s="628"/>
      <c r="W12" s="628"/>
      <c r="X12" s="628"/>
      <c r="Y12" s="629"/>
      <c r="Z12" s="231"/>
      <c r="AA12" s="229"/>
      <c r="AB12" s="230"/>
      <c r="AC12" s="74"/>
      <c r="AD12" s="622"/>
      <c r="AE12" s="663"/>
      <c r="AF12" s="74"/>
      <c r="AG12" s="74"/>
      <c r="AH12" s="74"/>
      <c r="AI12" s="211"/>
      <c r="AJ12" s="212"/>
      <c r="AK12" s="74"/>
      <c r="AL12" s="74"/>
      <c r="AM12" s="74"/>
      <c r="AN12" s="74"/>
      <c r="AO12" s="231"/>
      <c r="AP12" s="225"/>
      <c r="AQ12" s="468"/>
      <c r="AR12" s="74"/>
      <c r="AS12" s="74"/>
      <c r="AT12" s="293"/>
      <c r="AU12" s="293"/>
      <c r="AV12" s="293"/>
    </row>
    <row r="13" spans="1:65" ht="18" customHeight="1" thickBot="1">
      <c r="A13" s="212"/>
      <c r="B13" s="624" t="str">
        <f>'Translate&amp;Prices&amp;Logo'!$B$544</f>
        <v>Fittings brand</v>
      </c>
      <c r="C13" s="625"/>
      <c r="D13" s="625"/>
      <c r="E13" s="625"/>
      <c r="F13" s="625"/>
      <c r="G13" s="249"/>
      <c r="H13" s="605"/>
      <c r="I13" s="605"/>
      <c r="J13" s="605"/>
      <c r="K13" s="605"/>
      <c r="L13" s="605"/>
      <c r="M13" s="605"/>
      <c r="N13" s="605"/>
      <c r="O13" s="605"/>
      <c r="P13" s="605"/>
      <c r="Q13" s="606"/>
      <c r="R13" s="212"/>
      <c r="S13" s="627">
        <f>IF(H13="Salice"," ",IF(H19&gt;=2,'Translate&amp;Prices&amp;Logo'!B575,0))</f>
        <v>0</v>
      </c>
      <c r="T13" s="628"/>
      <c r="U13" s="628"/>
      <c r="V13" s="628"/>
      <c r="W13" s="628"/>
      <c r="X13" s="628"/>
      <c r="Y13" s="629"/>
      <c r="Z13" s="231"/>
      <c r="AA13" s="229"/>
      <c r="AB13" s="230"/>
      <c r="AC13" s="74"/>
      <c r="AD13" s="226"/>
      <c r="AE13" s="663"/>
      <c r="AF13" s="74"/>
      <c r="AG13" s="74"/>
      <c r="AH13" s="74"/>
      <c r="AI13" s="211"/>
      <c r="AJ13" s="212"/>
      <c r="AK13" s="74"/>
      <c r="AL13" s="74"/>
      <c r="AM13" s="74"/>
      <c r="AN13" s="74"/>
      <c r="AO13" s="231"/>
      <c r="AP13" s="225"/>
      <c r="AQ13" s="468"/>
      <c r="AR13" s="74"/>
      <c r="AS13" s="74"/>
      <c r="AT13" s="412">
        <f>IFERROR((((AI30/1000)+(AR14/1000))*2)*(VLOOKUP(H8,'Translate&amp;Prices&amp;Logo'!B6:C74,2,0))+(VLOOKUP(H8,'Translate&amp;Prices&amp;Logo'!B6:D74,3,0)),0)</f>
        <v>0</v>
      </c>
      <c r="AU13" s="299"/>
      <c r="AV13" s="293"/>
    </row>
    <row r="14" spans="1:65" ht="18" customHeight="1">
      <c r="A14" s="212"/>
      <c r="B14" s="624">
        <f>IFERROR(IF(H12='Translate&amp;Prices&amp;Logo'!B551,'Translate&amp;Prices&amp;Logo'!$B$546,0),0)</f>
        <v>0</v>
      </c>
      <c r="C14" s="625"/>
      <c r="D14" s="625"/>
      <c r="E14" s="625"/>
      <c r="F14" s="625"/>
      <c r="G14" s="249"/>
      <c r="H14" s="605"/>
      <c r="I14" s="605"/>
      <c r="J14" s="605"/>
      <c r="K14" s="605"/>
      <c r="L14" s="605"/>
      <c r="M14" s="605"/>
      <c r="N14" s="605"/>
      <c r="O14" s="605"/>
      <c r="P14" s="605"/>
      <c r="Q14" s="606"/>
      <c r="R14" s="212"/>
      <c r="S14" s="627"/>
      <c r="T14" s="628"/>
      <c r="U14" s="628"/>
      <c r="V14" s="628"/>
      <c r="W14" s="628"/>
      <c r="X14" s="628"/>
      <c r="Y14" s="629"/>
      <c r="Z14" s="231"/>
      <c r="AA14" s="229"/>
      <c r="AB14" s="230"/>
      <c r="AC14" s="74"/>
      <c r="AD14" s="626" t="str">
        <f>('Translate&amp;Prices&amp;Logo'!$B$548)&amp;" "&amp;H26&amp;" "&amp;"mm"</f>
        <v>Pitch  mm</v>
      </c>
      <c r="AE14" s="663"/>
      <c r="AF14" s="74"/>
      <c r="AG14" s="74"/>
      <c r="AH14" s="74"/>
      <c r="AI14" s="211"/>
      <c r="AJ14" s="212"/>
      <c r="AK14" s="74"/>
      <c r="AL14" s="74"/>
      <c r="AM14" s="661" t="str">
        <f>('Translate&amp;Prices&amp;Logo'!$B$548)&amp;" "&amp;H26&amp;" "&amp;"mm"</f>
        <v>Pitch  mm</v>
      </c>
      <c r="AN14" s="74"/>
      <c r="AO14" s="232"/>
      <c r="AP14" s="225"/>
      <c r="AQ14" s="468"/>
      <c r="AR14" s="602"/>
      <c r="AS14" s="74"/>
      <c r="AT14" s="299"/>
      <c r="AU14" s="293"/>
      <c r="AV14" s="293"/>
      <c r="AW14" s="318" t="s">
        <v>3169</v>
      </c>
    </row>
    <row r="15" spans="1:65" ht="18" customHeight="1" thickBot="1">
      <c r="A15" s="212"/>
      <c r="B15" s="624" t="str">
        <f>'Translate&amp;Prices&amp;Logo'!$B$545</f>
        <v>Fittings variant</v>
      </c>
      <c r="C15" s="625"/>
      <c r="D15" s="625"/>
      <c r="E15" s="625"/>
      <c r="F15" s="625"/>
      <c r="G15" s="249"/>
      <c r="H15" s="605"/>
      <c r="I15" s="605"/>
      <c r="J15" s="605"/>
      <c r="K15" s="605"/>
      <c r="L15" s="605"/>
      <c r="M15" s="605"/>
      <c r="N15" s="605"/>
      <c r="O15" s="605"/>
      <c r="P15" s="605"/>
      <c r="Q15" s="606"/>
      <c r="R15" s="212"/>
      <c r="S15" s="627"/>
      <c r="T15" s="628"/>
      <c r="U15" s="628"/>
      <c r="V15" s="628"/>
      <c r="W15" s="628"/>
      <c r="X15" s="628"/>
      <c r="Y15" s="629"/>
      <c r="Z15" s="231"/>
      <c r="AA15" s="229"/>
      <c r="AB15" s="233"/>
      <c r="AC15" s="74"/>
      <c r="AD15" s="626"/>
      <c r="AE15" s="663"/>
      <c r="AF15" s="74"/>
      <c r="AG15" s="74"/>
      <c r="AH15" s="74"/>
      <c r="AI15" s="211"/>
      <c r="AJ15" s="212"/>
      <c r="AK15" s="74"/>
      <c r="AL15" s="74"/>
      <c r="AM15" s="661"/>
      <c r="AN15" s="74"/>
      <c r="AO15" s="232"/>
      <c r="AP15" s="225"/>
      <c r="AQ15" s="468"/>
      <c r="AR15" s="602"/>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5" t="str">
        <f>IF(H15=kombinace_3!AB40,'Translate&amp;Prices&amp;Logo'!$B$224,IF(H15=kombinace_3!AB41,'Translate&amp;Prices&amp;Logo'!$B$224,IF(H12='závěsy dle výklopu'!BQ2,'Translate&amp;Prices&amp;Logo'!$B$222,'Translate&amp;Prices&amp;Logo'!$B$218)))</f>
        <v>Select Frame Position</v>
      </c>
      <c r="C16" s="646"/>
      <c r="D16" s="646"/>
      <c r="E16" s="646"/>
      <c r="F16" s="644"/>
      <c r="G16" s="644"/>
      <c r="H16" s="644"/>
      <c r="I16" s="644"/>
      <c r="J16" s="640" t="str">
        <f>IF(OR(H15=kombinace_3!AB40,H15=kombinace_3!AB7,H15=kombinace_3!AB15,H15=kombinace_3!AB20,H15=kombinace_3!AB21,H15=kombinace_3!AB22),'Translate&amp;Prices&amp;Logo'!$B$226,IF(H15=kombinace_3!AB41,'Translate&amp;Prices&amp;Logo'!$B$226,'Translate&amp;Prices&amp;Logo'!$B$232))</f>
        <v>Second door type</v>
      </c>
      <c r="K16" s="640"/>
      <c r="L16" s="640"/>
      <c r="M16" s="640"/>
      <c r="N16" s="638"/>
      <c r="O16" s="638"/>
      <c r="P16" s="638"/>
      <c r="Q16" s="639"/>
      <c r="R16" s="212"/>
      <c r="S16" s="627"/>
      <c r="T16" s="628"/>
      <c r="U16" s="628"/>
      <c r="V16" s="628"/>
      <c r="W16" s="628"/>
      <c r="X16" s="628"/>
      <c r="Y16" s="629"/>
      <c r="Z16" s="231"/>
      <c r="AA16" s="229"/>
      <c r="AB16" s="233"/>
      <c r="AC16" s="74"/>
      <c r="AD16" s="626"/>
      <c r="AE16" s="663"/>
      <c r="AF16" s="74"/>
      <c r="AG16" s="74"/>
      <c r="AH16" s="74"/>
      <c r="AI16" s="211"/>
      <c r="AJ16" s="212"/>
      <c r="AK16" s="74"/>
      <c r="AL16" s="74"/>
      <c r="AM16" s="661"/>
      <c r="AN16" s="74"/>
      <c r="AO16" s="232"/>
      <c r="AP16" s="225"/>
      <c r="AQ16" s="468"/>
      <c r="AR16" s="602"/>
      <c r="AS16" s="74"/>
      <c r="AT16" s="299"/>
      <c r="AU16" s="293">
        <f>(AI30/1000)/AU15</f>
        <v>0</v>
      </c>
      <c r="AV16" s="293">
        <f>(AR14/1000)/AV15</f>
        <v>0</v>
      </c>
      <c r="AW16" s="320">
        <f>(2*AU16)+(2*AV16)</f>
        <v>0</v>
      </c>
    </row>
    <row r="17" spans="1:52" ht="18" customHeight="1">
      <c r="A17" s="212"/>
      <c r="B17" s="624">
        <f>IF(H12='Translate&amp;Prices&amp;Logo'!B551,'Translate&amp;Prices&amp;Logo'!B238,IF(H15=kombinace_3!AB8,'Translate&amp;Prices&amp;Logo'!B284,0))</f>
        <v>0</v>
      </c>
      <c r="C17" s="625"/>
      <c r="D17" s="625"/>
      <c r="E17" s="625"/>
      <c r="F17" s="625"/>
      <c r="G17" s="249"/>
      <c r="H17" s="605"/>
      <c r="I17" s="605"/>
      <c r="J17" s="605"/>
      <c r="K17" s="605"/>
      <c r="L17" s="605"/>
      <c r="M17" s="605"/>
      <c r="N17" s="605"/>
      <c r="O17" s="605"/>
      <c r="P17" s="605"/>
      <c r="Q17" s="606"/>
      <c r="R17" s="212"/>
      <c r="S17" s="627"/>
      <c r="T17" s="628"/>
      <c r="U17" s="628"/>
      <c r="V17" s="628"/>
      <c r="W17" s="628"/>
      <c r="X17" s="628"/>
      <c r="Y17" s="629"/>
      <c r="Z17" s="231"/>
      <c r="AA17" s="229"/>
      <c r="AB17" s="233"/>
      <c r="AC17" s="74"/>
      <c r="AD17" s="626"/>
      <c r="AE17" s="74"/>
      <c r="AF17" s="74"/>
      <c r="AG17" s="74"/>
      <c r="AH17" s="74"/>
      <c r="AI17" s="211"/>
      <c r="AJ17" s="212"/>
      <c r="AK17" s="74"/>
      <c r="AL17" s="74"/>
      <c r="AM17" s="661"/>
      <c r="AN17" s="74"/>
      <c r="AO17" s="232"/>
      <c r="AP17" s="225"/>
      <c r="AQ17" s="468"/>
      <c r="AR17" s="602"/>
      <c r="AS17" s="74"/>
      <c r="AT17" s="299">
        <f>IF(AU10=1,BD3*'Translate&amp;Prices&amp;Logo'!C51,IF(AU10=2,BI3*'Translate&amp;Prices&amp;Logo'!C51,IF(AU10=3,(BD3+BI3)*'Translate&amp;Prices&amp;Logo'!C51,IF(AU10=0,0))))</f>
        <v>0</v>
      </c>
      <c r="AU17" s="293" t="e">
        <f>IF(H13&lt;&gt;"Salice",AU23,0)</f>
        <v>#N/A</v>
      </c>
      <c r="AV17" s="293">
        <f>IF(H13="Salice",VLOOKUP(H17,kombinace_3!$BY:$BZ,2,0),0)</f>
        <v>0</v>
      </c>
    </row>
    <row r="18" spans="1:52" ht="18" customHeight="1">
      <c r="A18" s="212"/>
      <c r="B18" s="624">
        <f>IFERROR(IF(VLOOKUP(H15,kombinace_3!CD:CE,2,0)=1,'Translate&amp;Prices&amp;Logo'!$B$547,0),0)</f>
        <v>0</v>
      </c>
      <c r="C18" s="625"/>
      <c r="D18" s="625"/>
      <c r="E18" s="625"/>
      <c r="F18" s="625"/>
      <c r="G18" s="249"/>
      <c r="H18" s="605"/>
      <c r="I18" s="605"/>
      <c r="J18" s="605"/>
      <c r="K18" s="605"/>
      <c r="L18" s="605"/>
      <c r="M18" s="605"/>
      <c r="N18" s="605"/>
      <c r="O18" s="605"/>
      <c r="P18" s="605"/>
      <c r="Q18" s="606"/>
      <c r="R18" s="212"/>
      <c r="S18" s="627">
        <f>IFERROR((IF(AND(AU7=2,H27&gt;""),'Translate&amp;Prices&amp;Logo'!$B$576,IF(AND(AU7=1,H27&gt;""),'Translate&amp;Prices&amp;Logo'!$B$626,IF(AND(AU7=3,H27&gt;""),'Translate&amp;Prices&amp;Logo'!$B$626,0)))),0)</f>
        <v>0</v>
      </c>
      <c r="T18" s="628"/>
      <c r="U18" s="628"/>
      <c r="V18" s="628"/>
      <c r="W18" s="628"/>
      <c r="X18" s="628"/>
      <c r="Y18" s="629"/>
      <c r="Z18" s="231"/>
      <c r="AA18" s="229"/>
      <c r="AB18" s="233"/>
      <c r="AC18" s="74"/>
      <c r="AD18" s="626"/>
      <c r="AE18" s="74"/>
      <c r="AF18" s="74"/>
      <c r="AG18" s="74"/>
      <c r="AH18" s="74"/>
      <c r="AI18" s="211"/>
      <c r="AJ18" s="212"/>
      <c r="AK18" s="74"/>
      <c r="AL18" s="74"/>
      <c r="AM18" s="661"/>
      <c r="AN18" s="74"/>
      <c r="AO18" s="232"/>
      <c r="AP18" s="225"/>
      <c r="AQ18" s="468"/>
      <c r="AR18" s="602"/>
      <c r="AS18" s="74"/>
      <c r="AT18" s="299"/>
      <c r="AU18" s="293"/>
      <c r="AV18" s="293"/>
    </row>
    <row r="19" spans="1:52" ht="18" customHeight="1">
      <c r="A19" s="212"/>
      <c r="B19" s="624">
        <f>IFERROR(IF(H12='Translate&amp;Prices&amp;Logo'!B551,'Translate&amp;Prices&amp;Logo'!$B$223,IF(VLOOKUP(H15,kombinace_3!CD:CE,2,0)=1,'Translate&amp;Prices&amp;Logo'!$B$223,)),0)</f>
        <v>0</v>
      </c>
      <c r="C19" s="625"/>
      <c r="D19" s="625"/>
      <c r="E19" s="625"/>
      <c r="F19" s="625"/>
      <c r="G19" s="249"/>
      <c r="H19" s="605"/>
      <c r="I19" s="605"/>
      <c r="J19" s="605"/>
      <c r="K19" s="605"/>
      <c r="L19" s="605"/>
      <c r="M19" s="605"/>
      <c r="N19" s="605"/>
      <c r="O19" s="605"/>
      <c r="P19" s="605"/>
      <c r="Q19" s="606"/>
      <c r="R19" s="212"/>
      <c r="S19" s="627"/>
      <c r="T19" s="628"/>
      <c r="U19" s="628"/>
      <c r="V19" s="628"/>
      <c r="W19" s="628"/>
      <c r="X19" s="628"/>
      <c r="Y19" s="629"/>
      <c r="Z19" s="231"/>
      <c r="AA19" s="228"/>
      <c r="AB19" s="601">
        <v>0</v>
      </c>
      <c r="AC19" s="601"/>
      <c r="AD19" s="626"/>
      <c r="AE19" s="74"/>
      <c r="AF19" s="74"/>
      <c r="AG19" s="74"/>
      <c r="AH19" s="74"/>
      <c r="AI19" s="310"/>
      <c r="AJ19" s="212"/>
      <c r="AK19" s="74"/>
      <c r="AL19" s="660" t="str">
        <f>'Translate&amp;Prices&amp;Logo'!$B$636</f>
        <v>Distance from the bottom edge</v>
      </c>
      <c r="AM19" s="661"/>
      <c r="AN19" s="601">
        <v>0</v>
      </c>
      <c r="AO19" s="601"/>
      <c r="AP19" s="227"/>
      <c r="AQ19" s="468"/>
      <c r="AR19" s="600" t="str">
        <f>'Translate&amp;Prices&amp;Logo'!$B$176</f>
        <v>Height</v>
      </c>
      <c r="AS19" s="74"/>
      <c r="AT19" s="299"/>
      <c r="AU19" s="291">
        <f>IFERROR(IF(H12='závěsy dle výklopu'!BR2,VLOOKUP(H15,kombinace_3!$CD$3:$CF$18,3,0),IF(H12='závěsy dle výklopu'!BQ2,1,0)),0)</f>
        <v>0</v>
      </c>
      <c r="AV19" s="293">
        <f>IFERROR(VLOOKUP(H15,kombinace_3!$CD:$CF,3,0),0)</f>
        <v>0</v>
      </c>
    </row>
    <row r="20" spans="1:52" ht="18" customHeight="1">
      <c r="A20" s="212"/>
      <c r="B20" s="649">
        <f>IF(H13&lt;&gt;"Salice",(IFERROR('Translate&amp;Prices&amp;Logo'!$B$242&amp;" "&amp;(VLOOKUP(H17,kombinace_3!$BY$32:$CA$35,2,0)),0)),0)</f>
        <v>0</v>
      </c>
      <c r="C20" s="650"/>
      <c r="D20" s="650"/>
      <c r="E20" s="650"/>
      <c r="F20" s="636">
        <v>100</v>
      </c>
      <c r="G20" s="636"/>
      <c r="H20" s="636"/>
      <c r="I20" s="636"/>
      <c r="J20" s="650">
        <f>IFERROR('Translate&amp;Prices&amp;Logo'!$B$242&amp;" "&amp;(VLOOKUP(H17,kombinace_3!$BY$32:$CA$35,3,0)),0)</f>
        <v>0</v>
      </c>
      <c r="K20" s="650"/>
      <c r="L20" s="650"/>
      <c r="M20" s="650"/>
      <c r="N20" s="636">
        <v>100</v>
      </c>
      <c r="O20" s="636"/>
      <c r="P20" s="636"/>
      <c r="Q20" s="637"/>
      <c r="R20" s="212"/>
      <c r="S20" s="627"/>
      <c r="T20" s="628"/>
      <c r="U20" s="628"/>
      <c r="V20" s="628"/>
      <c r="W20" s="628"/>
      <c r="X20" s="628"/>
      <c r="Y20" s="629"/>
      <c r="Z20" s="231"/>
      <c r="AA20" s="229"/>
      <c r="AB20" s="230"/>
      <c r="AC20" s="74"/>
      <c r="AD20" s="626"/>
      <c r="AE20" s="74"/>
      <c r="AF20" s="74"/>
      <c r="AG20" s="74"/>
      <c r="AH20" s="74"/>
      <c r="AI20" s="211"/>
      <c r="AJ20" s="212"/>
      <c r="AK20" s="74"/>
      <c r="AL20" s="660"/>
      <c r="AM20" s="661"/>
      <c r="AN20" s="74"/>
      <c r="AO20" s="232"/>
      <c r="AP20" s="225"/>
      <c r="AQ20" s="468"/>
      <c r="AR20" s="600"/>
      <c r="AS20" s="74"/>
      <c r="AT20" s="299"/>
      <c r="AU20" s="293"/>
      <c r="AV20" s="293"/>
    </row>
    <row r="21" spans="1:52" ht="18" customHeight="1">
      <c r="A21" s="212"/>
      <c r="B21" s="624" t="str">
        <f>IF(kombinace_3!FC2=FALSE,'Translate&amp;Prices&amp;Logo'!$B$173," ")</f>
        <v>Type of glass</v>
      </c>
      <c r="C21" s="625"/>
      <c r="D21" s="625"/>
      <c r="E21" s="625"/>
      <c r="F21" s="625"/>
      <c r="G21" s="249"/>
      <c r="H21" s="605"/>
      <c r="I21" s="605"/>
      <c r="J21" s="605"/>
      <c r="K21" s="605"/>
      <c r="L21" s="605"/>
      <c r="M21" s="605"/>
      <c r="N21" s="605"/>
      <c r="O21" s="605"/>
      <c r="P21" s="605"/>
      <c r="Q21" s="606"/>
      <c r="R21" s="212"/>
      <c r="S21" s="627"/>
      <c r="T21" s="628"/>
      <c r="U21" s="628"/>
      <c r="V21" s="628"/>
      <c r="W21" s="628"/>
      <c r="X21" s="628"/>
      <c r="Y21" s="629"/>
      <c r="Z21" s="231"/>
      <c r="AA21" s="229"/>
      <c r="AB21" s="230"/>
      <c r="AC21" s="74"/>
      <c r="AD21" s="626"/>
      <c r="AE21" s="74"/>
      <c r="AF21" s="74"/>
      <c r="AG21" s="74"/>
      <c r="AH21" s="74"/>
      <c r="AI21" s="211"/>
      <c r="AJ21" s="212"/>
      <c r="AK21" s="74"/>
      <c r="AL21" s="660"/>
      <c r="AM21" s="661"/>
      <c r="AN21" s="74"/>
      <c r="AO21" s="231"/>
      <c r="AP21" s="225"/>
      <c r="AQ21" s="468"/>
      <c r="AR21" s="600"/>
      <c r="AS21" s="74"/>
      <c r="AT21" s="299"/>
      <c r="AU21" s="293"/>
      <c r="AV21" s="293"/>
      <c r="AY21" s="264" t="b">
        <f>AND(AU7=2,H27&gt;"")</f>
        <v>0</v>
      </c>
      <c r="AZ21" s="264" t="b">
        <f>AND(AU7=1,H27&gt;"")</f>
        <v>0</v>
      </c>
    </row>
    <row r="22" spans="1:52" ht="18" customHeight="1">
      <c r="A22" s="212"/>
      <c r="B22" s="379"/>
      <c r="C22" s="380"/>
      <c r="D22" s="380"/>
      <c r="E22" s="380"/>
      <c r="F22" s="380"/>
      <c r="G22" s="250"/>
      <c r="H22" s="250"/>
      <c r="I22" s="250"/>
      <c r="J22" s="250"/>
      <c r="K22" s="250"/>
      <c r="L22" s="250"/>
      <c r="M22" s="250"/>
      <c r="N22" s="250"/>
      <c r="O22" s="250"/>
      <c r="P22" s="250"/>
      <c r="Q22" s="306"/>
      <c r="R22" s="212"/>
      <c r="S22" s="627"/>
      <c r="T22" s="628"/>
      <c r="U22" s="628"/>
      <c r="V22" s="628"/>
      <c r="W22" s="628"/>
      <c r="X22" s="628"/>
      <c r="Y22" s="629"/>
      <c r="Z22" s="231"/>
      <c r="AA22" s="229"/>
      <c r="AB22" s="230"/>
      <c r="AC22" s="74"/>
      <c r="AD22" s="74"/>
      <c r="AE22" s="74"/>
      <c r="AF22" s="74"/>
      <c r="AG22" s="74"/>
      <c r="AH22" s="74"/>
      <c r="AI22" s="211"/>
      <c r="AJ22" s="212"/>
      <c r="AK22" s="74"/>
      <c r="AL22" s="660"/>
      <c r="AM22" s="226"/>
      <c r="AN22" s="74"/>
      <c r="AO22" s="231"/>
      <c r="AP22" s="225"/>
      <c r="AQ22" s="468"/>
      <c r="AR22" s="600"/>
      <c r="AS22" s="74"/>
      <c r="AT22" s="299"/>
      <c r="AU22" s="293"/>
      <c r="AV22" s="293"/>
    </row>
    <row r="23" spans="1:52" ht="18" customHeight="1">
      <c r="A23" s="212"/>
      <c r="B23" s="379"/>
      <c r="C23" s="380"/>
      <c r="D23" s="380"/>
      <c r="E23" s="380"/>
      <c r="F23" s="380"/>
      <c r="G23" s="250"/>
      <c r="H23" s="568" t="str">
        <f>"↥↥  "&amp;'Translate&amp;Prices&amp;Logo'!$B$573&amp;"  ↥↥"</f>
        <v>↥↥  Do not change after you make a choice type of glass/mesh  ↥↥</v>
      </c>
      <c r="I23" s="568"/>
      <c r="J23" s="568"/>
      <c r="K23" s="568"/>
      <c r="L23" s="568"/>
      <c r="M23" s="568"/>
      <c r="N23" s="568"/>
      <c r="O23" s="568"/>
      <c r="P23" s="568"/>
      <c r="Q23" s="662"/>
      <c r="R23" s="212"/>
      <c r="S23" s="630"/>
      <c r="T23" s="631"/>
      <c r="U23" s="631"/>
      <c r="V23" s="631"/>
      <c r="W23" s="631"/>
      <c r="X23" s="631"/>
      <c r="Y23" s="632"/>
      <c r="Z23" s="231"/>
      <c r="AA23" s="229"/>
      <c r="AB23" s="230"/>
      <c r="AC23" s="74"/>
      <c r="AD23" s="74"/>
      <c r="AE23" s="74"/>
      <c r="AF23" s="74"/>
      <c r="AG23" s="74"/>
      <c r="AH23" s="74"/>
      <c r="AI23" s="211"/>
      <c r="AJ23" s="212"/>
      <c r="AK23" s="74"/>
      <c r="AL23" s="660"/>
      <c r="AM23" s="617">
        <v>0</v>
      </c>
      <c r="AN23" s="74"/>
      <c r="AO23" s="231"/>
      <c r="AP23" s="225"/>
      <c r="AQ23" s="468"/>
      <c r="AR23" s="600"/>
      <c r="AS23" s="74"/>
      <c r="AT23" s="299"/>
      <c r="AU23" s="293" t="e">
        <f>VLOOKUP(H17,kombinace_3!$BY$3:$BZ$6,2,0)</f>
        <v>#N/A</v>
      </c>
      <c r="AV23" s="293"/>
    </row>
    <row r="24" spans="1:52" ht="18" customHeight="1">
      <c r="A24" s="212"/>
      <c r="B24" s="685" t="str">
        <f>'Translate&amp;Prices&amp;Logo'!$B$562</f>
        <v>Type of foil</v>
      </c>
      <c r="C24" s="686"/>
      <c r="D24" s="686"/>
      <c r="E24" s="686"/>
      <c r="F24" s="686"/>
      <c r="G24" s="249"/>
      <c r="H24" s="607"/>
      <c r="I24" s="607"/>
      <c r="J24" s="607"/>
      <c r="K24" s="607"/>
      <c r="L24" s="607"/>
      <c r="M24" s="607"/>
      <c r="N24" s="607"/>
      <c r="O24" s="607"/>
      <c r="P24" s="607"/>
      <c r="Q24" s="623"/>
      <c r="R24" s="212"/>
      <c r="S24" s="618" t="str">
        <f>'Translate&amp;Prices&amp;Logo'!$B$177</f>
        <v>Notes</v>
      </c>
      <c r="T24" s="618"/>
      <c r="U24" s="618"/>
      <c r="Z24" s="231"/>
      <c r="AA24" s="229"/>
      <c r="AB24" s="230"/>
      <c r="AC24" s="616" t="str">
        <f>'Translate&amp;Prices&amp;Logo'!$B$242</f>
        <v>Distance from edge</v>
      </c>
      <c r="AD24" s="616"/>
      <c r="AE24" s="616"/>
      <c r="AF24" s="616"/>
      <c r="AG24" s="616"/>
      <c r="AH24" s="74"/>
      <c r="AI24" s="211"/>
      <c r="AJ24" s="212"/>
      <c r="AK24" s="74"/>
      <c r="AL24" s="660"/>
      <c r="AM24" s="617"/>
      <c r="AN24" s="74"/>
      <c r="AO24" s="231"/>
      <c r="AP24" s="234"/>
      <c r="AQ24" s="468"/>
      <c r="AR24" s="74"/>
      <c r="AS24" s="486">
        <f>IF(H28&gt;0,AR14,0)</f>
        <v>0</v>
      </c>
      <c r="AT24" s="299"/>
      <c r="AU24" s="293" t="e">
        <f>CONCATENATE(AU23,"_",H19)</f>
        <v>#N/A</v>
      </c>
      <c r="AV24" s="293"/>
      <c r="AW24" s="264">
        <f>IF(AI30&gt;=2600,1.3,IF(AR14&gt;=2600,1.3,1))</f>
        <v>1</v>
      </c>
    </row>
    <row r="25" spans="1:52" ht="18" customHeight="1">
      <c r="A25" s="212"/>
      <c r="B25" s="624" t="str">
        <f>'Translate&amp;Prices&amp;Logo'!$B$625</f>
        <v>Type of glass/mesh</v>
      </c>
      <c r="C25" s="625"/>
      <c r="D25" s="625"/>
      <c r="E25" s="625"/>
      <c r="F25" s="625"/>
      <c r="G25" s="249"/>
      <c r="H25" s="605"/>
      <c r="I25" s="605"/>
      <c r="J25" s="605"/>
      <c r="K25" s="605"/>
      <c r="L25" s="605"/>
      <c r="M25" s="605"/>
      <c r="N25" s="605"/>
      <c r="O25" s="605"/>
      <c r="P25" s="605"/>
      <c r="Q25" s="606"/>
      <c r="R25" s="212"/>
      <c r="S25" s="665"/>
      <c r="T25" s="666"/>
      <c r="U25" s="666"/>
      <c r="V25" s="666"/>
      <c r="W25" s="666"/>
      <c r="X25" s="666"/>
      <c r="Y25" s="667"/>
      <c r="Z25" s="231"/>
      <c r="AA25" s="229"/>
      <c r="AB25" s="230"/>
      <c r="AC25" s="601">
        <v>0</v>
      </c>
      <c r="AD25" s="601"/>
      <c r="AE25" s="226"/>
      <c r="AF25" s="615" t="str">
        <f>('Translate&amp;Prices&amp;Logo'!$B$548)&amp;" "&amp;H26&amp;" "&amp;"mm"</f>
        <v>Pitch  mm</v>
      </c>
      <c r="AG25" s="615"/>
      <c r="AH25" s="615"/>
      <c r="AI25" s="615"/>
      <c r="AJ25" s="615"/>
      <c r="AK25" s="615"/>
      <c r="AL25" s="660"/>
      <c r="AM25" s="617"/>
      <c r="AN25" s="74"/>
      <c r="AO25" s="231"/>
      <c r="AP25" s="234"/>
      <c r="AQ25" s="468"/>
      <c r="AR25" s="74"/>
      <c r="AS25" s="74"/>
      <c r="AT25" s="299"/>
      <c r="AU25" s="293" t="e">
        <f>VLOOKUP(H27,kombinace_3!$BY:$BZ,2,0)</f>
        <v>#N/A</v>
      </c>
      <c r="AV25" s="293"/>
    </row>
    <row r="26" spans="1:52" ht="18" customHeight="1">
      <c r="A26" s="212"/>
      <c r="B26" s="624" t="str">
        <f>'Translate&amp;Prices&amp;Logo'!$B$549</f>
        <v>Handle diameter (mm)</v>
      </c>
      <c r="C26" s="625"/>
      <c r="D26" s="625"/>
      <c r="E26" s="625"/>
      <c r="F26" s="625"/>
      <c r="G26" s="249"/>
      <c r="H26" s="656"/>
      <c r="I26" s="656"/>
      <c r="J26" s="656"/>
      <c r="K26" s="656"/>
      <c r="L26" s="656"/>
      <c r="M26" s="656"/>
      <c r="N26" s="656"/>
      <c r="O26" s="656"/>
      <c r="P26" s="656"/>
      <c r="Q26" s="657"/>
      <c r="R26" s="212"/>
      <c r="S26" s="668"/>
      <c r="T26" s="669"/>
      <c r="U26" s="669"/>
      <c r="V26" s="669"/>
      <c r="W26" s="669"/>
      <c r="X26" s="669"/>
      <c r="Y26" s="670"/>
      <c r="Z26" s="231"/>
      <c r="AA26" s="229"/>
      <c r="AB26" s="230"/>
      <c r="AC26" s="74"/>
      <c r="AD26" s="74"/>
      <c r="AE26" s="74"/>
      <c r="AF26" s="74"/>
      <c r="AG26" s="74"/>
      <c r="AH26" s="74"/>
      <c r="AI26" s="211"/>
      <c r="AJ26" s="622">
        <v>0</v>
      </c>
      <c r="AK26" s="74"/>
      <c r="AL26" s="74"/>
      <c r="AM26" s="74"/>
      <c r="AN26" s="74"/>
      <c r="AO26" s="231"/>
      <c r="AP26" s="225"/>
      <c r="AQ26" s="468"/>
      <c r="AR26" s="74"/>
      <c r="AS26" s="74"/>
      <c r="AT26" s="299"/>
    </row>
    <row r="27" spans="1:52" ht="18" customHeight="1">
      <c r="A27" s="212"/>
      <c r="B27" s="624" t="str">
        <f>'Translate&amp;Prices&amp;Logo'!$B$550</f>
        <v>Handle position</v>
      </c>
      <c r="C27" s="625"/>
      <c r="D27" s="625"/>
      <c r="E27" s="625"/>
      <c r="F27" s="625"/>
      <c r="G27" s="249"/>
      <c r="H27" s="605"/>
      <c r="I27" s="605"/>
      <c r="J27" s="605"/>
      <c r="K27" s="605"/>
      <c r="L27" s="605"/>
      <c r="M27" s="605"/>
      <c r="N27" s="605"/>
      <c r="O27" s="605"/>
      <c r="P27" s="605"/>
      <c r="Q27" s="606"/>
      <c r="R27" s="212"/>
      <c r="S27" s="668"/>
      <c r="T27" s="669"/>
      <c r="U27" s="669"/>
      <c r="V27" s="669"/>
      <c r="W27" s="669"/>
      <c r="X27" s="669"/>
      <c r="Y27" s="670"/>
      <c r="Z27" s="231"/>
      <c r="AA27" s="219"/>
      <c r="AB27" s="235"/>
      <c r="AC27" s="236"/>
      <c r="AD27" s="236"/>
      <c r="AE27" s="236"/>
      <c r="AF27" s="236"/>
      <c r="AG27" s="236"/>
      <c r="AH27" s="237"/>
      <c r="AI27" s="238"/>
      <c r="AJ27" s="622"/>
      <c r="AK27" s="236"/>
      <c r="AL27" s="236"/>
      <c r="AM27" s="236"/>
      <c r="AN27" s="236"/>
      <c r="AO27" s="239"/>
      <c r="AP27" s="225"/>
      <c r="AQ27" s="468"/>
      <c r="AR27" s="74"/>
      <c r="AS27" s="74"/>
      <c r="AT27" s="299"/>
    </row>
    <row r="28" spans="1:52" ht="18" customHeight="1">
      <c r="A28" s="212"/>
      <c r="B28" s="682" t="str">
        <f>('Translate&amp;Prices&amp;Logo'!$B$174)</f>
        <v>Quantity</v>
      </c>
      <c r="C28" s="683"/>
      <c r="D28" s="683"/>
      <c r="E28" s="683"/>
      <c r="F28" s="683"/>
      <c r="G28" s="249"/>
      <c r="H28" s="642"/>
      <c r="I28" s="642"/>
      <c r="J28" s="642"/>
      <c r="K28" s="642"/>
      <c r="L28" s="642"/>
      <c r="M28" s="642"/>
      <c r="N28" s="642"/>
      <c r="O28" s="642"/>
      <c r="P28" s="642"/>
      <c r="Q28" s="643"/>
      <c r="R28" s="212"/>
      <c r="S28" s="668"/>
      <c r="T28" s="669"/>
      <c r="U28" s="669"/>
      <c r="V28" s="669"/>
      <c r="W28" s="669"/>
      <c r="X28" s="669"/>
      <c r="Y28" s="670"/>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690" t="str">
        <f>IF(Hlavní!$V$39=3,"",'Translate&amp;Prices&amp;Logo'!$B$225&amp;" -&gt; "&amp; 'Translate&amp;Prices&amp;Logo'!B241&amp;":")</f>
        <v>Supply including specified fittings -&gt; select from list:</v>
      </c>
      <c r="E29" s="690"/>
      <c r="F29" s="690"/>
      <c r="G29" s="690"/>
      <c r="H29" s="690"/>
      <c r="I29" s="690"/>
      <c r="J29" s="690"/>
      <c r="K29" s="690"/>
      <c r="L29" s="690"/>
      <c r="M29" s="690"/>
      <c r="N29" s="690"/>
      <c r="O29" s="690"/>
      <c r="P29" s="688"/>
      <c r="Q29" s="689"/>
      <c r="R29" s="212"/>
      <c r="S29" s="668"/>
      <c r="T29" s="669"/>
      <c r="U29" s="669"/>
      <c r="V29" s="669"/>
      <c r="W29" s="669"/>
      <c r="X29" s="669"/>
      <c r="Y29" s="670"/>
      <c r="Z29" s="74"/>
      <c r="AA29" s="265" t="e">
        <f>VLOOKUP(H14,kombinace_3!$DN$7:$DO$24,2,0)</f>
        <v>#N/A</v>
      </c>
      <c r="AB29" s="659">
        <f>IF(kombinace_3!FC2=TRUE,AB4,IF(H12='závěsy dle výklopu'!BQ2,'Translate&amp;Prices&amp;Logo'!B577,0))</f>
        <v>0</v>
      </c>
      <c r="AC29" s="659"/>
      <c r="AD29" s="659"/>
      <c r="AE29" s="659"/>
      <c r="AF29" s="659"/>
      <c r="AG29" s="659"/>
      <c r="AH29" s="659"/>
      <c r="AI29" s="659"/>
      <c r="AJ29" s="659"/>
      <c r="AK29" s="659"/>
      <c r="AL29" s="659"/>
      <c r="AM29" s="659"/>
      <c r="AN29" s="659"/>
      <c r="AO29" s="659"/>
      <c r="AP29" s="265"/>
      <c r="AQ29" s="74"/>
      <c r="AR29" s="74"/>
      <c r="AS29" s="74"/>
      <c r="AT29" s="299"/>
    </row>
    <row r="30" spans="1:52" ht="23.25" customHeight="1">
      <c r="A30" s="212"/>
      <c r="B30" s="678" t="str">
        <f>'Translate&amp;Prices&amp;Logo'!$B$178</f>
        <v>Total price of frames</v>
      </c>
      <c r="C30" s="679"/>
      <c r="D30" s="679"/>
      <c r="E30" s="679"/>
      <c r="F30" s="679"/>
      <c r="G30" s="679"/>
      <c r="H30" s="679"/>
      <c r="I30" s="679"/>
      <c r="J30" s="679"/>
      <c r="K30" s="553"/>
      <c r="L30" s="654">
        <f>IF(OR((AI30&gt;AI43),(AR14&gt;AJ43)),"",((((AT11+AT13+AT15+AT17+AT33+AT35+AT37)*AT43)*(1-(Zakaznik!K21/100)))*AW24))</f>
        <v>0</v>
      </c>
      <c r="M30" s="654"/>
      <c r="N30" s="654"/>
      <c r="O30" s="654"/>
      <c r="P30" s="674" t="str">
        <f>VLOOKUP('Translate&amp;Prices&amp;Logo'!D1,'závěsy dle výklopu'!A204:B209,2,0)</f>
        <v>€</v>
      </c>
      <c r="Q30" s="675"/>
      <c r="R30" s="212"/>
      <c r="S30" s="668"/>
      <c r="T30" s="669"/>
      <c r="U30" s="669"/>
      <c r="V30" s="669"/>
      <c r="W30" s="669"/>
      <c r="X30" s="669"/>
      <c r="Y30" s="670"/>
      <c r="Z30" s="74"/>
      <c r="AA30" s="74"/>
      <c r="AB30" s="212"/>
      <c r="AC30" s="74"/>
      <c r="AD30" s="74"/>
      <c r="AE30" s="74"/>
      <c r="AF30" s="658" t="str">
        <f>'Translate&amp;Prices&amp;Logo'!$B$175</f>
        <v>Width</v>
      </c>
      <c r="AG30" s="658"/>
      <c r="AH30" s="658"/>
      <c r="AI30" s="653"/>
      <c r="AJ30" s="653"/>
      <c r="AK30" s="653"/>
      <c r="AL30" s="74"/>
      <c r="AM30" s="74"/>
      <c r="AN30" s="74"/>
      <c r="AO30" s="74"/>
      <c r="AP30" s="74"/>
      <c r="AQ30" s="74"/>
      <c r="AR30" s="74"/>
      <c r="AS30" s="74"/>
      <c r="AT30" s="299"/>
      <c r="AU30" s="291" t="e">
        <f>HLOOKUP("_Úzký_dolny_K12",kombinace_3!CV2:CW19,3,FALSE)</f>
        <v>#N/A</v>
      </c>
    </row>
    <row r="31" spans="1:52" ht="14.1" customHeight="1" thickBot="1">
      <c r="A31" s="212"/>
      <c r="B31" s="680"/>
      <c r="C31" s="681"/>
      <c r="D31" s="681"/>
      <c r="E31" s="681"/>
      <c r="F31" s="681"/>
      <c r="G31" s="681"/>
      <c r="H31" s="681"/>
      <c r="I31" s="681"/>
      <c r="J31" s="681"/>
      <c r="K31" s="684"/>
      <c r="L31" s="655"/>
      <c r="M31" s="655"/>
      <c r="N31" s="655"/>
      <c r="O31" s="655"/>
      <c r="P31" s="676"/>
      <c r="Q31" s="677"/>
      <c r="R31" s="212"/>
      <c r="S31" s="671"/>
      <c r="T31" s="672"/>
      <c r="U31" s="672"/>
      <c r="V31" s="672"/>
      <c r="W31" s="672"/>
      <c r="X31" s="672"/>
      <c r="Y31" s="673"/>
      <c r="Z31" s="74"/>
      <c r="AA31" s="254"/>
      <c r="AB31" s="245"/>
      <c r="AC31" s="245"/>
      <c r="AD31" s="254"/>
      <c r="AE31" s="254"/>
      <c r="AF31" s="254"/>
      <c r="AG31" s="254"/>
      <c r="AH31" s="254"/>
      <c r="AI31" s="439"/>
      <c r="AJ31" s="254"/>
      <c r="AK31" s="254"/>
      <c r="AL31" s="254"/>
      <c r="AM31" s="254"/>
      <c r="AN31" s="254"/>
      <c r="AO31" s="599" t="str">
        <f>'Translate&amp;Prices&amp;Logo'!$B$567</f>
        <v>Summary</v>
      </c>
      <c r="AP31" s="599"/>
      <c r="AQ31" s="599"/>
      <c r="AR31" s="599"/>
      <c r="AS31" s="74"/>
      <c r="AT31" s="299"/>
      <c r="AU31" s="291" t="str">
        <f>AD44</f>
        <v>_Široký_</v>
      </c>
    </row>
    <row r="32" spans="1:52" ht="17.25" customHeight="1">
      <c r="A32" s="212"/>
      <c r="B32" s="641" t="str">
        <f>'Translate&amp;Prices&amp;Logo'!$B$171</f>
        <v>Prices shown are VAT-free and do not include price of the fittings required!</v>
      </c>
      <c r="C32" s="641"/>
      <c r="D32" s="641"/>
      <c r="E32" s="641"/>
      <c r="F32" s="641"/>
      <c r="G32" s="641"/>
      <c r="H32" s="641"/>
      <c r="I32" s="641"/>
      <c r="J32" s="641"/>
      <c r="K32" s="641"/>
      <c r="L32" s="641"/>
      <c r="M32" s="641"/>
      <c r="N32" s="641"/>
      <c r="O32" s="641"/>
      <c r="P32" s="641"/>
      <c r="Q32" s="641"/>
      <c r="R32" s="212"/>
      <c r="S32" s="74"/>
      <c r="T32" s="74"/>
      <c r="U32" s="74"/>
      <c r="V32" s="74"/>
      <c r="W32" s="74"/>
      <c r="X32" s="74"/>
      <c r="Y32" s="74"/>
      <c r="Z32" s="74"/>
      <c r="AA32" s="74"/>
      <c r="AB32" s="212"/>
      <c r="AC32" s="74"/>
      <c r="AD32" s="74"/>
      <c r="AE32" s="74"/>
      <c r="AF32" s="74"/>
      <c r="AG32" s="74"/>
      <c r="AH32" s="74"/>
      <c r="AI32" s="74"/>
      <c r="AJ32" s="74"/>
      <c r="AK32" s="74"/>
      <c r="AL32" s="74"/>
      <c r="AM32" s="74"/>
      <c r="AN32" s="74"/>
      <c r="AO32" s="599"/>
      <c r="AP32" s="599"/>
      <c r="AQ32" s="599"/>
      <c r="AR32" s="599"/>
      <c r="AS32" s="212"/>
      <c r="AT32" s="299"/>
    </row>
    <row r="33" spans="1:58" ht="34.5" customHeight="1">
      <c r="A33" s="212"/>
      <c r="B33" s="664" t="str">
        <f>'Translate&amp;Prices&amp;Logo'!$B$641</f>
        <v>Frames without glass are delivered disassembled.</v>
      </c>
      <c r="C33" s="664"/>
      <c r="D33" s="664"/>
      <c r="E33" s="664"/>
      <c r="F33" s="664"/>
      <c r="G33" s="664"/>
      <c r="H33" s="664"/>
      <c r="I33" s="664"/>
      <c r="J33" s="664"/>
      <c r="K33" s="664"/>
      <c r="L33" s="664" t="str">
        <f>IF(OR((AI30&gt;AI43),(AR14&gt;AJ43)),'Translate&amp;Prices&amp;Logo'!B691,"")</f>
        <v/>
      </c>
      <c r="M33" s="664"/>
      <c r="N33" s="664"/>
      <c r="O33" s="664"/>
      <c r="P33" s="664"/>
      <c r="Q33" s="664"/>
      <c r="R33" s="664"/>
      <c r="S33" s="664"/>
      <c r="T33" s="408"/>
      <c r="U33" s="408"/>
      <c r="V33" s="408"/>
      <c r="W33" s="408"/>
      <c r="X33" s="408"/>
      <c r="Y33" s="408"/>
      <c r="Z33" s="408"/>
      <c r="AA33" s="408"/>
      <c r="AB33" s="408"/>
      <c r="AC33" s="408"/>
      <c r="AD33" s="74"/>
      <c r="AE33" s="74"/>
      <c r="AF33" s="301"/>
      <c r="AG33" s="74"/>
      <c r="AJ33" s="74"/>
      <c r="AK33" s="74"/>
      <c r="AL33" s="74"/>
      <c r="AM33" s="74"/>
      <c r="AN33" s="74"/>
      <c r="AO33" s="74"/>
      <c r="AP33" s="74"/>
      <c r="AQ33" s="74"/>
      <c r="AR33" s="74"/>
      <c r="AS33" s="212"/>
      <c r="AT33" s="299">
        <f>IF(kombinace_3!V1=2,((AR14/1000)*(AI30/1000))*'Translate&amp;Prices&amp;Logo'!C94,0)</f>
        <v>0</v>
      </c>
    </row>
    <row r="34" spans="1:58" s="301" customFormat="1" ht="36.75" customHeight="1">
      <c r="A34" s="302"/>
      <c r="B34" s="664"/>
      <c r="C34" s="664"/>
      <c r="D34" s="664"/>
      <c r="E34" s="664"/>
      <c r="F34" s="664"/>
      <c r="G34" s="664"/>
      <c r="H34" s="664"/>
      <c r="I34" s="664"/>
      <c r="J34" s="664"/>
      <c r="K34" s="664"/>
      <c r="L34" s="664"/>
      <c r="M34" s="664"/>
      <c r="N34" s="664"/>
      <c r="O34" s="664"/>
      <c r="P34" s="664"/>
      <c r="Q34" s="664"/>
      <c r="R34" s="664"/>
      <c r="S34" s="664"/>
      <c r="V34" s="687"/>
      <c r="W34" s="687"/>
      <c r="AS34" s="300"/>
      <c r="AT34" s="300"/>
      <c r="AW34" s="408"/>
      <c r="AX34" s="408"/>
      <c r="AY34" s="408"/>
      <c r="AZ34" s="408"/>
      <c r="BA34" s="408"/>
      <c r="BB34" s="408"/>
      <c r="BC34" s="408"/>
      <c r="BD34" s="408"/>
      <c r="BE34" s="408"/>
      <c r="BF34" s="408"/>
    </row>
    <row r="35" spans="1:58" ht="15" hidden="1" customHeight="1">
      <c r="B35" s="264"/>
      <c r="R35" s="293"/>
      <c r="S35" s="293"/>
      <c r="T35" s="302"/>
      <c r="AD35" s="264"/>
      <c r="AE35" s="264"/>
      <c r="AN35" s="301"/>
      <c r="AO35" s="301"/>
      <c r="AP35" s="301"/>
      <c r="AQ35" s="301"/>
      <c r="AS35" s="299"/>
      <c r="AT35" s="299">
        <f>IF(kombinace_3!$V$1=3,IFERROR(((VLOOKUP(H24,'Translate&amp;Prices&amp;Logo'!B91:C93,2,0))*(AR14/1000)),0),0)</f>
        <v>0</v>
      </c>
      <c r="AV35" s="431" t="s">
        <v>4597</v>
      </c>
      <c r="AW35" s="432"/>
      <c r="AX35" s="432"/>
      <c r="AY35" s="408"/>
    </row>
    <row r="36" spans="1:58" s="310" customFormat="1" ht="18.600000000000001" hidden="1" customHeight="1">
      <c r="A36" s="302"/>
      <c r="B36" s="310" t="str" cm="1">
        <f t="array" ref="B36:B91">IF(kombinace_3!FC2=TRUE,_profily_síťka,IF(kombinace_3!H1=TRUE,_kombinovane_profily,_vše_profily))</f>
        <v>BRW (elox.) - maximum profile length 2500 mm</v>
      </c>
      <c r="L36" s="310" t="str">
        <f t="array" ref="L36:M36">IF(kombinace_3!H1=TRUE,'závěsy dle výklopu'!$BQ$2:$BR$2,
IF(H8=kombinace_3!A34,'závěsy dle výklopu'!$BQ$2,IF(H8=kombinace_3!A35,'závěsy dle výklopu'!$BQ$2,IF(H8=kombinace_3!A55,'závěsy dle výklopu'!$BQ$2,IF(H8=kombinace_3!A56,'závěsy dle výklopu'!$BQ$2,IF(H8=kombinace_3!A57,'závěsy dle výklopu'!$BQ$2,IF(H8=kombinace_3!A58,'závěsy dle výklopu'!$BQ$2,'závěsy dle výklopu'!$BQ$2:$BR$2)))))))</f>
        <v>Hinges</v>
      </c>
      <c r="M36" s="310" t="str">
        <v>Hinges</v>
      </c>
      <c r="P36" s="310" t="str" cm="1">
        <f t="array" ref="P36:P38">IF(H13=kombinace_3!BQ11,kombinace_3!$DN$2,kombinace_3!$DN$2:$DN$4)</f>
        <v>Overlay</v>
      </c>
      <c r="T36" s="310">
        <f t="array" aca="1" ref="T36:T44" ca="1">IF(H13=kombinace_3!BQ11,
  kombinace_3!$FA$2:$FA$9,
  IF(AND(OR(H8=kombinace_3!A34,H8=kombinace_3!A35),H13='závěsy dle výklopu'!BQ4),
    INDIRECT(VLOOKUP(AD42&amp;"_Rocca",kombinace_3!$ER$1:$ES$108,2,0)),
    IF($AU$9=2,
      INDIRECT(VLOOKUP(AD42,kombinace_3!$ER$1:$ES$108,2,0)),
      IF($AU$9=3,
        INDIRECT(VLOOKUP($T$47,kombinace_3!$AA$1:$AB$100,2,0)),
      $Y$48)
    )
  )
)</f>
        <v>0</v>
      </c>
      <c r="AF36" s="310" t="e">
        <f>HLOOKUP($AD$44,'závěsy dle výklopu'!$CG$4:$EZ$10,2,0)</f>
        <v>#N/A</v>
      </c>
      <c r="AJ36" s="310">
        <f t="array" ref="AJ36:AJ40">IF(AM19&lt;2100,kombinace_3!BY8:BY12,kombinace_3!BY8:BY12)</f>
        <v>2</v>
      </c>
      <c r="AW36" s="408"/>
      <c r="AX36" s="408"/>
      <c r="AY36" s="408"/>
    </row>
    <row r="37" spans="1:58" s="310" customFormat="1" ht="15" hidden="1" customHeight="1">
      <c r="A37" s="293"/>
      <c r="B37" s="310" t="str">
        <v>BRW white matt RAL 9003 - maximum profile length 2500 mm</v>
      </c>
      <c r="P37" s="310" t="str">
        <v>Half-overlay</v>
      </c>
      <c r="T37" s="310">
        <f ca="1"/>
        <v>0</v>
      </c>
      <c r="W37" s="310" t="str" cm="1">
        <f t="array" ref="W37:W38">IF(Hlavní!$V$39=3,"",'Translate&amp;Prices&amp;Logo'!B556:B557)</f>
        <v>Yes</v>
      </c>
      <c r="AD37" s="311"/>
      <c r="AF37" s="310" t="e">
        <f>HLOOKUP($AD$44,'závěsy dle výklopu'!$CG$4:$EZ$10,3,0)</f>
        <v>#N/A</v>
      </c>
      <c r="AJ37" s="310">
        <v>3</v>
      </c>
      <c r="AS37" s="310" t="s">
        <v>5</v>
      </c>
      <c r="AT37" s="310">
        <f>IFERROR((VLOOKUP(H25,'Translate&amp;Prices&amp;Logo'!B99:C167,2,0))*((AI30/1000)*(AR14/1000)),0)</f>
        <v>0</v>
      </c>
      <c r="AW37" s="408"/>
      <c r="AX37" s="408"/>
      <c r="AY37" s="408"/>
    </row>
    <row r="38" spans="1:58" s="310" customFormat="1" ht="18.600000000000001" hidden="1" customHeight="1">
      <c r="A38" s="293"/>
      <c r="B38" s="310" t="str">
        <v>BRW white gloss RAL 9003 - maximum profile length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str">
        <v>Inset</v>
      </c>
      <c r="T38" s="310">
        <f ca="1"/>
        <v>0</v>
      </c>
      <c r="W38" s="310" t="str">
        <v>No</v>
      </c>
      <c r="AD38" s="311"/>
      <c r="AE38" s="310" t="e">
        <f t="shared" ref="AE38:AE40" si="0">AF38</f>
        <v>#N/A</v>
      </c>
      <c r="AF38" s="310" t="e">
        <f>HLOOKUP($AD$44,'závěsy dle výklopu'!$CG$4:$EZ$10,4,0)</f>
        <v>#N/A</v>
      </c>
      <c r="AJ38" s="310">
        <v>4</v>
      </c>
      <c r="AW38" s="408"/>
      <c r="AX38" s="408"/>
      <c r="AY38" s="408"/>
    </row>
    <row r="39" spans="1:58" s="310" customFormat="1" ht="15" hidden="1" customHeight="1">
      <c r="A39" s="293"/>
      <c r="B39" s="310" t="str">
        <v>BRW brushed - maximum profile length 2500 mm</v>
      </c>
      <c r="L39" s="310" t="str">
        <v>ITALIANA ferramenta</v>
      </c>
      <c r="T39" s="310">
        <f ca="1"/>
        <v>0</v>
      </c>
      <c r="AD39" s="311"/>
      <c r="AE39" s="310" t="e">
        <f t="shared" si="0"/>
        <v>#N/A</v>
      </c>
      <c r="AF39" s="310" t="e">
        <f>HLOOKUP($AD$44,'závěsy dle výklopu'!$CG$4:$EZ$10,5,0)</f>
        <v>#N/A</v>
      </c>
      <c r="AJ39" s="310">
        <v>5</v>
      </c>
      <c r="AS39" s="310" t="s">
        <v>2162</v>
      </c>
      <c r="AW39" s="408"/>
      <c r="AX39" s="408"/>
      <c r="AY39" s="408"/>
    </row>
    <row r="40" spans="1:58" s="310" customFormat="1" ht="18.600000000000001" hidden="1" customHeight="1">
      <c r="A40" s="293"/>
      <c r="B40" s="310" t="str">
        <v>BRW black matt - maximum profile length 2500 mm</v>
      </c>
      <c r="L40" s="310" t="str">
        <v>StrongLift</v>
      </c>
      <c r="T40" s="310">
        <f ca="1"/>
        <v>0</v>
      </c>
      <c r="AE40" s="310" t="e">
        <f t="shared" si="0"/>
        <v>#N/A</v>
      </c>
      <c r="AF40" s="310" t="e">
        <f>HLOOKUP($AD$44,'závěsy dle výklopu'!$CG$4:$EZ$10,6,0)</f>
        <v>#N/A</v>
      </c>
      <c r="AJ40" s="310">
        <v>6</v>
      </c>
      <c r="AW40" s="408"/>
      <c r="AX40" s="408"/>
      <c r="AY40" s="408"/>
    </row>
    <row r="41" spans="1:58" s="310" customFormat="1" ht="15" hidden="1" customHeight="1">
      <c r="A41" s="293"/>
      <c r="B41" s="310" t="str">
        <v>BRW black brushed - maximum profile length 2500 mm</v>
      </c>
      <c r="L41" s="310" t="str">
        <v xml:space="preserve">Kesseböhmer </v>
      </c>
      <c r="T41" s="310">
        <f ca="1"/>
        <v>0</v>
      </c>
      <c r="U41" s="310">
        <f>IF(Hlavní!$V$39=3,1,2)</f>
        <v>2</v>
      </c>
      <c r="AE41" s="310">
        <f>AF41</f>
        <v>0</v>
      </c>
      <c r="AH41" s="434"/>
      <c r="AI41" s="435" t="s">
        <v>4588</v>
      </c>
      <c r="AJ41" s="435" t="s">
        <v>4589</v>
      </c>
      <c r="AS41" s="310" t="s">
        <v>2163</v>
      </c>
      <c r="AW41" s="408"/>
      <c r="AX41" s="408"/>
      <c r="AY41" s="408"/>
    </row>
    <row r="42" spans="1:58" s="310" customFormat="1" ht="18.600000000000001" hidden="1" customHeight="1">
      <c r="A42" s="293"/>
      <c r="B42" s="310" t="str">
        <v>BRW Light Stainless Steel (ACIER GRATA) - maximum profile length 2500 mm</v>
      </c>
      <c r="L42" s="310" t="str">
        <v>Hettich</v>
      </c>
      <c r="T42" s="310">
        <f ca="1"/>
        <v>0</v>
      </c>
      <c r="AD42" s="310" t="e">
        <f>CONCATENATE("_",AV7,"_",H13,"_",AA29)</f>
        <v>#N/A</v>
      </c>
      <c r="AG42" s="433">
        <v>42</v>
      </c>
      <c r="AH42" s="434"/>
      <c r="AI42" s="436"/>
      <c r="AJ42" s="436"/>
      <c r="AW42" s="408"/>
      <c r="AX42" s="408"/>
      <c r="AY42" s="408"/>
    </row>
    <row r="43" spans="1:58" s="310" customFormat="1" ht="15" hidden="1" customHeight="1">
      <c r="A43" s="293"/>
      <c r="B43" s="310" t="str">
        <v>BRW anthracite RAL 7021 - maximum profile length 2500 mm</v>
      </c>
      <c r="T43" s="310">
        <f ca="1"/>
        <v>0</v>
      </c>
      <c r="AG43" s="433">
        <v>43</v>
      </c>
      <c r="AH43" s="434"/>
      <c r="AI43" s="437">
        <f>IF(H12='Translate&amp;Prices&amp;Logo'!B181,VLOOKUP(H8,'Translate&amp;Prices&amp;Logo'!B:V,21,0),AJ43)</f>
        <v>0</v>
      </c>
      <c r="AJ43" s="437">
        <f>VLOOKUP(H8,'Translate&amp;Prices&amp;Logo'!B:U,20,0)</f>
        <v>0</v>
      </c>
      <c r="AK43" s="310" t="s">
        <v>4587</v>
      </c>
      <c r="AS43" s="310" t="s">
        <v>2164</v>
      </c>
      <c r="AT43" s="310">
        <f>H28</f>
        <v>0</v>
      </c>
      <c r="AW43" s="408"/>
      <c r="AX43" s="408"/>
      <c r="AY43" s="408"/>
    </row>
    <row r="44" spans="1:58" s="310" customFormat="1" ht="18.600000000000001" hidden="1" customHeight="1">
      <c r="A44" s="293"/>
      <c r="B44" s="310" t="str">
        <v>BRW champagne - maximum profile length 2500 mm</v>
      </c>
      <c r="M44" s="310" t="s">
        <v>3532</v>
      </c>
      <c r="N44" s="310" t="s">
        <v>1981</v>
      </c>
      <c r="T44" s="310">
        <f ca="1"/>
        <v>0</v>
      </c>
      <c r="AD44" s="310" t="str">
        <f>CONCATENATE("_",AV7,"_",H15)</f>
        <v>_Široký_</v>
      </c>
      <c r="AG44" s="433">
        <v>44</v>
      </c>
      <c r="AH44" s="434"/>
      <c r="AI44" s="438"/>
      <c r="AJ44" s="438"/>
      <c r="AW44" s="408"/>
      <c r="AX44" s="408"/>
      <c r="AY44" s="408"/>
    </row>
    <row r="45" spans="1:58" s="310" customFormat="1" ht="14.85" hidden="1" customHeight="1">
      <c r="A45" s="293"/>
      <c r="B45" s="310" t="str">
        <v>BRW champagne light - maximum profile length 2500 mm</v>
      </c>
      <c r="M45" s="310" t="s">
        <v>3533</v>
      </c>
      <c r="N45" s="310" t="s">
        <v>1981</v>
      </c>
      <c r="AS45" s="286"/>
      <c r="AW45" s="408"/>
      <c r="AX45" s="408"/>
      <c r="AY45" s="408"/>
    </row>
    <row r="46" spans="1:58" s="310" customFormat="1" ht="14.85" hidden="1" customHeight="1">
      <c r="A46" s="293"/>
      <c r="B46" s="310" t="str">
        <v>BRW brown - maximum profile length 2500 mm</v>
      </c>
      <c r="M46" s="310" t="s">
        <v>5434</v>
      </c>
    </row>
    <row r="47" spans="1:58" s="310" customFormat="1" ht="14.85" hidden="1" customHeight="1">
      <c r="A47" s="293"/>
      <c r="B47" s="310" t="str">
        <v>BRW dark stainless steel - maximum profile length 2500 mm</v>
      </c>
      <c r="M47" s="310" t="s">
        <v>5435</v>
      </c>
      <c r="T47" s="310" t="str">
        <f>CONCATENATE(H13,"_",VLOOKUP(kombinace_3!H1,kombinace_3!$J$14:$K$15,2,0))</f>
        <v>_2</v>
      </c>
      <c r="AI47" s="264"/>
      <c r="AJ47" s="430"/>
      <c r="AN47" s="595"/>
      <c r="AO47" s="595"/>
      <c r="AP47" s="595"/>
      <c r="AQ47" s="595"/>
    </row>
    <row r="48" spans="1:58" s="310" customFormat="1" ht="14.85" hidden="1" customHeight="1">
      <c r="A48" s="293"/>
      <c r="B48" s="310" t="str">
        <v>BRW gold - maximum profile length 2500 mm</v>
      </c>
      <c r="T48" s="310" t="e">
        <f>VLOOKUP(AD42,kombinace_3!ER:ES,2,0)</f>
        <v>#N/A</v>
      </c>
      <c r="AS48"/>
      <c r="AT48"/>
    </row>
    <row r="49" spans="1:46" s="310" customFormat="1" ht="14.85" hidden="1" customHeight="1">
      <c r="A49" s="293"/>
      <c r="B49" s="310" t="str">
        <v>BRW arany csiszolt - maximum profile length 2500 mm</v>
      </c>
      <c r="AS49"/>
      <c r="AT49"/>
    </row>
    <row r="50" spans="1:46" s="310" customFormat="1" ht="14.85" hidden="1" customHeight="1">
      <c r="A50" s="293"/>
      <c r="B50" s="310" t="str">
        <v>Corleone (elox.) - maximum profile length 1500 mm</v>
      </c>
      <c r="AS50"/>
      <c r="AT50"/>
    </row>
    <row r="51" spans="1:46" s="310" customFormat="1" ht="14.85" hidden="1" customHeight="1">
      <c r="A51" s="293"/>
      <c r="B51" s="310" t="str">
        <v>Corleone black matt - maximum profile length 1500 mm</v>
      </c>
      <c r="AS51"/>
      <c r="AT51"/>
    </row>
    <row r="52" spans="1:46" s="310" customFormat="1" ht="14.85" hidden="1" customHeight="1">
      <c r="A52" s="293"/>
      <c r="B52" s="310" t="str">
        <v>ASTI black matt - maximum profile length 2150 mm</v>
      </c>
      <c r="AS52"/>
      <c r="AT52"/>
    </row>
    <row r="53" spans="1:46" s="310" customFormat="1" ht="14.85" hidden="1" customHeight="1">
      <c r="A53" s="293"/>
      <c r="B53" s="310" t="str">
        <v>ASTI anthracite RAL 7021 matt - maximum profile length 2500 mm</v>
      </c>
      <c r="AS53"/>
      <c r="AT53"/>
    </row>
    <row r="54" spans="1:46" s="310" customFormat="1" ht="14.85" hidden="1" customHeight="1">
      <c r="A54" s="293"/>
      <c r="B54" s="310" t="str">
        <v>Imola (elox.) - maximum profile length 2500 mm</v>
      </c>
      <c r="K54" s="310" t="str">
        <f t="array" ref="K54:K58">IF(OR($H$15=kombinace_3!AB40,$H$15=kombinace_3!AB7,$H$15=kombinace_3!AB15,$H$15=kombinace_3!AB20,$H$15=kombinace_3!AB21,$H$15=kombinace_3!AB22),'Translate&amp;Prices&amp;Logo'!$B$229:$B$231,IF($H$15=kombinace_3!AB41,'Translate&amp;Prices&amp;Logo'!$B$229:$B$231,'Translate&amp;Prices&amp;Logo'!$B$233:$B$237))</f>
        <v>Narrow ALU Frame</v>
      </c>
      <c r="Q54" s="310" t="str">
        <f>'Translate&amp;Prices&amp;Logo'!B227</f>
        <v>Top</v>
      </c>
      <c r="T54" s="310" t="str">
        <f t="array" ref="T54:T56">kombinace_3!$EN$3:$EN$5</f>
        <v>Not treated</v>
      </c>
      <c r="U54" s="310">
        <v>1</v>
      </c>
      <c r="X54" s="310" t="str">
        <f t="array" ref="X54:X56">kombinace_3!$X$3:$X$5</f>
        <v>Transparent</v>
      </c>
      <c r="AD54" s="310" t="str">
        <f t="array" aca="1" ref="AD54:AD97" ca="1">IF(kombinace_3!FC2=FALSE,
IF(OR(H8=kombinace_3!A17,H8=kombinace_3!A18,H8=kombinace_3!A25,H8=kombinace_3!A26,H8=kombinace_3!A27,H8=kombinace_3!A28),_corleone,INDIRECT(kombinace_3!S1)),
IF(kombinace_3!FC2=TRUE,INDIRECT(VLOOKUP(Ram_1!H8,'závěsy dle výklopu'!A81:B92,2,0)),0))</f>
        <v>Transparent</v>
      </c>
      <c r="AS54"/>
      <c r="AT54"/>
    </row>
    <row r="55" spans="1:46" s="310" customFormat="1" ht="14.85" hidden="1" customHeight="1">
      <c r="A55" s="293"/>
      <c r="B55" s="310" t="str">
        <v>Imola black matt - maximum profile length 2500 mm</v>
      </c>
      <c r="K55" s="310" t="str">
        <v>Wide ALU Frame</v>
      </c>
      <c r="Q55" s="310" t="str">
        <f>'Translate&amp;Prices&amp;Logo'!B228</f>
        <v>Bottom</v>
      </c>
      <c r="T55" s="310" t="str">
        <v>Harded (delivery is 4 weeks)</v>
      </c>
      <c r="U55" s="310">
        <v>2</v>
      </c>
      <c r="X55" s="310" t="str">
        <v>White</v>
      </c>
      <c r="AD55" s="310" t="str">
        <f ca="1"/>
        <v>Satinato</v>
      </c>
      <c r="AS55"/>
      <c r="AT55"/>
    </row>
    <row r="56" spans="1:46" s="310" customFormat="1" ht="14.85" hidden="1" customHeight="1">
      <c r="A56" s="293"/>
      <c r="B56" s="310" t="str">
        <v>Imola white matt RAL 9003 - maximum profile length 2500 mm</v>
      </c>
      <c r="K56" s="310" t="str">
        <v xml:space="preserve">MDF 16 mm </v>
      </c>
      <c r="Q56" s="310" t="str">
        <f>'Translate&amp;Prices&amp;Logo'!B229</f>
        <v>Right</v>
      </c>
      <c r="T56" s="310" t="str">
        <v>Foil</v>
      </c>
      <c r="U56" s="310">
        <v>3</v>
      </c>
      <c r="X56" s="310" t="str">
        <v>Black</v>
      </c>
      <c r="AD56" s="310" t="str">
        <f ca="1"/>
        <v>Satinato brown / Decormat Braz</v>
      </c>
    </row>
    <row r="57" spans="1:46" s="310" customFormat="1" ht="14.85" hidden="1" customHeight="1">
      <c r="A57" s="293"/>
      <c r="B57" s="310" t="str">
        <v>Imola gold - maximum profile length 2150 mm</v>
      </c>
      <c r="K57" s="310" t="str">
        <v xml:space="preserve">MDF 18 mm </v>
      </c>
      <c r="Q57" s="310" t="str">
        <f>'Translate&amp;Prices&amp;Logo'!B230</f>
        <v>Left</v>
      </c>
      <c r="AD57" s="310" t="str">
        <f ca="1"/>
        <v>Satinato graphite  / Decormat grafit</v>
      </c>
    </row>
    <row r="58" spans="1:46" s="310" customFormat="1" ht="14.85" hidden="1" customHeight="1">
      <c r="A58" s="293"/>
      <c r="B58" s="310" t="str">
        <v>Modena (elox.) - maximum profile length 2500 mm</v>
      </c>
      <c r="K58" s="310" t="str">
        <v>DTDL 18 mm</v>
      </c>
      <c r="AD58" s="310" t="str">
        <f ca="1"/>
        <v>MASTER SOFT</v>
      </c>
    </row>
    <row r="59" spans="1:46" s="310" customFormat="1" ht="14.85" hidden="1" customHeight="1">
      <c r="A59" s="293"/>
      <c r="B59" s="310" t="str">
        <v>Modena black matt - maximum profile length 2500 mm</v>
      </c>
      <c r="T59" s="310">
        <f>IFERROR(VLOOKUP($H$21,$T$54:$U$56,2,0),0)</f>
        <v>0</v>
      </c>
      <c r="AD59" s="310" t="str">
        <f ca="1"/>
        <v>MASTER FLEX</v>
      </c>
    </row>
    <row r="60" spans="1:46" s="310" customFormat="1" ht="14.85" hidden="1" customHeight="1">
      <c r="A60" s="293"/>
      <c r="B60" s="310" t="str">
        <v>black black brushed - maximum profile length 2500 mm</v>
      </c>
      <c r="K60" s="310" t="b">
        <f>K56=K61</f>
        <v>0</v>
      </c>
      <c r="AD60" s="310" t="str">
        <f ca="1"/>
        <v>Master (Carre)</v>
      </c>
    </row>
    <row r="61" spans="1:46" s="310" customFormat="1" ht="14.85" hidden="1" customHeight="1">
      <c r="A61" s="293"/>
      <c r="B61" s="310" t="str">
        <v>Modena dark stainless steel brushed - maximum profile length 2500 mm</v>
      </c>
      <c r="H61" s="310" t="str">
        <f>'Translate&amp;Prices&amp;Logo'!$B$186</f>
        <v>Bottom door</v>
      </c>
      <c r="K61" s="310" t="str">
        <f>'Translate&amp;Prices&amp;Logo'!$B$231</f>
        <v>2 Pieces (both sides)</v>
      </c>
      <c r="AD61" s="310" t="str">
        <f ca="1"/>
        <v>Master  Ligne horizontal</v>
      </c>
    </row>
    <row r="62" spans="1:46" s="310" customFormat="1" ht="14.85" hidden="1" customHeight="1">
      <c r="A62" s="293"/>
      <c r="B62" s="310" t="str">
        <v>Pisa (elox.) - maximum profile length 2500 mm</v>
      </c>
      <c r="AD62" s="310" t="str">
        <f ca="1"/>
        <v>Master  Ligne vertical</v>
      </c>
    </row>
    <row r="63" spans="1:46" s="310" customFormat="1" ht="14.85" hidden="1" customHeight="1">
      <c r="A63" s="293"/>
      <c r="B63" s="310" t="str">
        <v>Pisa white matt RAL 9003 - maximum profile length 2500 mm</v>
      </c>
      <c r="AD63" s="310" t="str">
        <f ca="1"/>
        <v>Master Point</v>
      </c>
    </row>
    <row r="64" spans="1:46" s="310" customFormat="1" ht="14.85" hidden="1" customHeight="1">
      <c r="A64" s="293"/>
      <c r="B64" s="310" t="str">
        <v>Pisa white gloss RAL 9003 - maximum profile length 2500 mm</v>
      </c>
      <c r="AD64" s="310" t="str">
        <f ca="1"/>
        <v>Masterscreen - maximum possible size 2160 x 1650 mm</v>
      </c>
    </row>
    <row r="65" spans="1:30" s="310" customFormat="1" ht="14.85" hidden="1" customHeight="1">
      <c r="A65" s="293"/>
      <c r="B65" s="310" t="str">
        <v>Pisa black matt - maximum profile length 2500 mm</v>
      </c>
      <c r="H65" s="167" t="str">
        <f>'rozpad závěsů bez prázdn. řádků'!$K$1</f>
        <v>cross screw</v>
      </c>
      <c r="I65" s="312">
        <v>6</v>
      </c>
      <c r="J65" s="166" t="e">
        <f>VLOOKUP($H$15,'rozpad závěsů bez prázdn. řádků'!$G$2:$X$66,I65,0)</f>
        <v>#N/A</v>
      </c>
      <c r="O65" s="310" t="str">
        <f t="array" ref="O65:O71">IF($H$15=kombinace_3!$AB$40,_strong_vzpera_horni,IF($H$15=kombinace_3!$AB$41,_stronglift_klopna,IF($H$12='závěsy dle výklopu'!$BQ$2,$J$65:$J$71,'Translate&amp;Prices&amp;Logo'!$B$185:$B$186)))</f>
        <v>Top door</v>
      </c>
      <c r="AD65" s="310" t="str">
        <f ca="1"/>
        <v>Venus VG10</v>
      </c>
    </row>
    <row r="66" spans="1:30" s="310" customFormat="1" ht="14.85" hidden="1" customHeight="1">
      <c r="A66" s="293"/>
      <c r="B66" s="310" t="str">
        <v>Pisa gold - maximum profile length 2150 mm</v>
      </c>
      <c r="H66" s="167" t="str">
        <f>'rozpad závěsů bez prázdn. řádků'!$M$1</f>
        <v>on screw (w/ cam adjust)</v>
      </c>
      <c r="I66" s="312">
        <v>8</v>
      </c>
      <c r="J66" s="166" t="e">
        <f>VLOOKUP($H$15,'rozpad závěsů bez prázdn. řádků'!$G$2:$X$66,I66,0)</f>
        <v>#N/A</v>
      </c>
      <c r="O66" s="310" t="str">
        <v>Bottom door</v>
      </c>
      <c r="AD66" s="310" t="str">
        <f ca="1"/>
        <v>Stopsol bronze  - maximum possible size 2250 x 1605 mm</v>
      </c>
    </row>
    <row r="67" spans="1:30" s="310" customFormat="1" ht="14.85" hidden="1" customHeight="1">
      <c r="A67" s="293"/>
      <c r="B67" s="310" t="str">
        <v>Rocca (elox.) - maximum profile length 2150 mm</v>
      </c>
      <c r="H67" s="167" t="str">
        <f>'rozpad závěsů bez prázdn. řádků'!$O$1</f>
        <v>euroscrew</v>
      </c>
      <c r="I67" s="312">
        <v>10</v>
      </c>
      <c r="J67" s="166" t="e">
        <f>VLOOKUP($H$15,'rozpad závěsů bez prázdn. řádků'!$G$2:$X$66,I67,0)</f>
        <v>#N/A</v>
      </c>
      <c r="O67" s="310" t="e">
        <v>#N/A</v>
      </c>
      <c r="AD67" s="310" t="str">
        <f ca="1"/>
        <v>Antisol bronze</v>
      </c>
    </row>
    <row r="68" spans="1:30" s="310" customFormat="1" ht="14.85" hidden="1" customHeight="1">
      <c r="A68" s="293"/>
      <c r="B68" s="310" t="str">
        <v>Rocca black matt - maximum profile length 2150 mm</v>
      </c>
      <c r="H68" s="167" t="str">
        <f>'rozpad závěsů bez prázdn. řádků'!$Q$1</f>
        <v>expando</v>
      </c>
      <c r="I68" s="312">
        <v>12</v>
      </c>
      <c r="J68" s="166" t="e">
        <f>VLOOKUP($H$15,'rozpad závěsů bez prázdn. řádků'!$G$2:$X$66,I68,0)</f>
        <v>#N/A</v>
      </c>
      <c r="O68" s="310" t="e">
        <v>#N/A</v>
      </c>
      <c r="AD68" s="310" t="str">
        <f ca="1"/>
        <v>Antisol graphite</v>
      </c>
    </row>
    <row r="69" spans="1:30" s="310" customFormat="1" ht="14.85" hidden="1" customHeight="1">
      <c r="A69" s="293"/>
      <c r="B69" s="310" t="str">
        <v>Verona (elox.) - maximum profile length 2500 mm</v>
      </c>
      <c r="H69" s="167" t="str">
        <f>'rozpad závěsů bez prázdn. řádků'!$S$1</f>
        <v>direct screw</v>
      </c>
      <c r="I69" s="312">
        <v>14</v>
      </c>
      <c r="J69" s="166" t="e">
        <f>VLOOKUP($H$15,'rozpad závěsů bez prázdn. řádků'!$G$2:$X$66,I69,0)</f>
        <v>#N/A</v>
      </c>
      <c r="O69" s="310" t="e">
        <v>#N/A</v>
      </c>
      <c r="AD69" s="310" t="str">
        <f ca="1"/>
        <v>Mirror</v>
      </c>
    </row>
    <row r="70" spans="1:30" s="310" customFormat="1" ht="14.85" hidden="1" customHeight="1">
      <c r="A70" s="293"/>
      <c r="B70" s="310" t="str">
        <v>Verona brushed aluminium - maximum profile length 2500 mm</v>
      </c>
      <c r="H70" s="167" t="str">
        <f>'rozpad závěsů bez prázdn. řádků'!$U$1</f>
        <v>direct euroscrew</v>
      </c>
      <c r="I70" s="312">
        <v>16</v>
      </c>
      <c r="J70" s="166" t="e">
        <f>VLOOKUP($H$15,'rozpad závěsů bez prázdn. řádků'!$G$2:$X$66,I70,0)</f>
        <v>#N/A</v>
      </c>
      <c r="O70" s="310" t="e">
        <v>#N/A</v>
      </c>
      <c r="AD70" s="310" t="str">
        <f ca="1"/>
        <v>Mirror brown</v>
      </c>
    </row>
    <row r="71" spans="1:30" s="310" customFormat="1" ht="14.85" hidden="1" customHeight="1">
      <c r="A71" s="293"/>
      <c r="B71" s="310" t="str">
        <v>Verona black matt - maximum profile length 2500 mm</v>
      </c>
      <c r="H71" s="167" t="str">
        <f>'rozpad závěsů bez prázdn. řádků'!$W$1</f>
        <v>direct expando</v>
      </c>
      <c r="I71" s="312">
        <v>18</v>
      </c>
      <c r="J71" s="166" t="e">
        <f>VLOOKUP($H$15,'rozpad závěsů bez prázdn. řádků'!$G$2:$X$66,I71,0)</f>
        <v>#N/A</v>
      </c>
      <c r="O71" s="310" t="e">
        <v>#N/A</v>
      </c>
      <c r="AD71" s="310" t="str">
        <f ca="1"/>
        <v>Mirror black</v>
      </c>
    </row>
    <row r="72" spans="1:30" s="310" customFormat="1" ht="14.85" hidden="1" customHeight="1">
      <c r="A72" s="293"/>
      <c r="B72" s="310" t="str">
        <v>Verona black gloss - maximum profile length 2500 mm</v>
      </c>
      <c r="AD72" s="310" t="str">
        <f ca="1"/>
        <v>VISIOSUN horizont</v>
      </c>
    </row>
    <row r="73" spans="1:30" s="310" customFormat="1" ht="14.85" hidden="1" customHeight="1">
      <c r="A73" s="293"/>
      <c r="B73" s="310" t="str">
        <v>Verona brown - maximum profile length 2500 mm</v>
      </c>
      <c r="AD73" s="310" t="str">
        <f ca="1"/>
        <v>VISIOSUN vertical</v>
      </c>
    </row>
    <row r="74" spans="1:30" s="310" customFormat="1" ht="14.85" hidden="1" customHeight="1">
      <c r="A74" s="293"/>
      <c r="B74" s="310" t="str">
        <v>Verona champagne - maximum profile length 2500 mm</v>
      </c>
      <c r="AD74" s="310" t="str">
        <f ca="1"/>
        <v>VISIOSUN sateen horizont</v>
      </c>
    </row>
    <row r="75" spans="1:30" s="310" customFormat="1" ht="14.85" hidden="1" customHeight="1">
      <c r="A75" s="293"/>
      <c r="B75" s="310" t="str">
        <v>Verona dark stainless steel brushed - maximum profile length 2500 mm</v>
      </c>
      <c r="AD75" s="310" t="str">
        <f ca="1"/>
        <v>VISIOSUN sateen vertical</v>
      </c>
    </row>
    <row r="76" spans="1:30" s="310" customFormat="1" ht="14.85" hidden="1" customHeight="1">
      <c r="A76" s="293"/>
      <c r="B76" s="310" t="str">
        <v>Verona light stainless steel (Acier grata) - maximum profile length 2500 mm</v>
      </c>
      <c r="AD76" s="310" t="str">
        <f ca="1"/>
        <v>Krizet  - maximum possible size 2130 x 1650 mm</v>
      </c>
    </row>
    <row r="77" spans="1:30" s="310" customFormat="1" ht="14.85" hidden="1" customHeight="1">
      <c r="A77" s="293"/>
      <c r="B77" s="310" t="str">
        <v>Verona gold - maximum profile length 2150 mm</v>
      </c>
      <c r="AD77" s="310" t="str">
        <f ca="1"/>
        <v>FLUTES vertical</v>
      </c>
    </row>
    <row r="78" spans="1:30" s="310" customFormat="1" ht="14.85" hidden="1" customHeight="1">
      <c r="A78" s="293"/>
      <c r="B78" s="310" t="str">
        <v>Verona gold brushed - maximum profile length 2150 mm</v>
      </c>
      <c r="AD78" s="310" t="str">
        <f ca="1"/>
        <v>FLUTES horizont</v>
      </c>
    </row>
    <row r="79" spans="1:30" s="310" customFormat="1" ht="14.85" hidden="1" customHeight="1">
      <c r="A79" s="293"/>
      <c r="B79" s="310" t="str">
        <v>Vivaro (elox.) - maximum profile length 2500 mm</v>
      </c>
      <c r="AD79" s="310" t="str">
        <f ca="1"/>
        <v>Lacomatt</v>
      </c>
    </row>
    <row r="80" spans="1:30" s="310" customFormat="1" ht="14.85" hidden="1" customHeight="1">
      <c r="A80" s="293"/>
      <c r="B80" s="310" t="str">
        <v>Vivaro black matt - maximum profile length 2500 mm</v>
      </c>
      <c r="AD80" s="310" t="str">
        <f ca="1"/>
        <v>Lacobel RAL 1013</v>
      </c>
    </row>
    <row r="81" spans="1:38" s="310" customFormat="1" ht="14.85" hidden="1" customHeight="1">
      <c r="A81" s="293"/>
      <c r="B81" s="310" t="str">
        <v>Vivaro dark stainless steel - maximum profile length 2500 mm</v>
      </c>
      <c r="AD81" s="310" t="str">
        <f ca="1"/>
        <v>Lacobel RAL 1015</v>
      </c>
    </row>
    <row r="82" spans="1:38" s="310" customFormat="1" ht="14.85" hidden="1" customHeight="1">
      <c r="A82" s="293"/>
      <c r="B82" s="310" t="str">
        <v>Vivaro white matt RAL 9003 - maximum profile length 2500 mm</v>
      </c>
      <c r="P82" s="310" t="str" cm="1">
        <f t="array" ref="P82:P83">IF(OR(H8=kombinace_3!F14,H8=kombinace_3!F15,H8=kombinace_3!F16,H8=kombinace_3!F17,H8=kombinace_3!F18,H8=kombinace_3!F19,H8=kombinace_3!A55,H8=kombinace_3!A56,H8=kombinace_3!A57,H8=kombinace_3!A58),Q56:Q57,IF(H15=kombinace_3!AB8,_ramena_HL,Q54:Q57))</f>
        <v>Right</v>
      </c>
      <c r="AD82" s="310" t="str">
        <f ca="1"/>
        <v>Lacobel RAL 7035</v>
      </c>
    </row>
    <row r="83" spans="1:38" ht="14.85" hidden="1" customHeight="1">
      <c r="B83" s="291" t="str">
        <v>Vivaro white gloss RAL 9003 - maximum profile length 2500 mm</v>
      </c>
      <c r="C83" s="293"/>
      <c r="D83" s="293"/>
      <c r="E83" s="293"/>
      <c r="F83" s="293"/>
      <c r="G83" s="293"/>
      <c r="H83" s="293"/>
      <c r="I83" s="293"/>
      <c r="J83" s="293"/>
      <c r="K83" s="293"/>
      <c r="L83" s="293"/>
      <c r="M83" s="293"/>
      <c r="N83" s="293"/>
      <c r="O83" s="291"/>
      <c r="P83" s="293" t="str">
        <v>Left</v>
      </c>
      <c r="Q83" s="293"/>
      <c r="R83" s="293"/>
      <c r="S83" s="293"/>
      <c r="T83" s="302"/>
      <c r="U83" s="302"/>
      <c r="V83" s="302"/>
      <c r="W83" s="302"/>
      <c r="X83" s="302"/>
      <c r="Y83" s="303"/>
      <c r="Z83" s="303"/>
      <c r="AA83" s="303"/>
      <c r="AB83" s="303"/>
      <c r="AC83" s="301"/>
      <c r="AD83" s="301" t="str">
        <f ca="1"/>
        <v>Lacobel RAL 9003</v>
      </c>
      <c r="AE83" s="301"/>
      <c r="AF83" s="301"/>
      <c r="AG83" s="301"/>
      <c r="AH83" s="301"/>
      <c r="AI83" s="303"/>
      <c r="AJ83" s="303"/>
      <c r="AK83" s="303"/>
      <c r="AL83" s="303"/>
    </row>
    <row r="84" spans="1:38" ht="14.85" hidden="1" customHeight="1">
      <c r="B84" s="291" t="str">
        <v>Vivaro gold - maximum profile length 2150 mm</v>
      </c>
      <c r="C84" s="293"/>
      <c r="D84" s="293"/>
      <c r="E84" s="293"/>
      <c r="F84" s="293"/>
      <c r="G84" s="293"/>
      <c r="H84" s="293"/>
      <c r="I84" s="293"/>
      <c r="J84" s="293"/>
      <c r="K84" s="293"/>
      <c r="L84" s="293"/>
      <c r="M84" s="293"/>
      <c r="N84" s="293"/>
      <c r="O84" s="291"/>
      <c r="P84" s="293"/>
      <c r="Q84" s="293"/>
      <c r="R84" s="293"/>
      <c r="S84" s="293"/>
      <c r="T84" s="302"/>
      <c r="U84" s="302"/>
      <c r="V84" s="302"/>
      <c r="W84" s="302"/>
      <c r="X84" s="302"/>
      <c r="Y84" s="303"/>
      <c r="Z84" s="303"/>
      <c r="AA84" s="303"/>
      <c r="AB84" s="303"/>
      <c r="AC84" s="301"/>
      <c r="AD84" s="301" t="str">
        <f ca="1"/>
        <v>Lacobel RAL 9005</v>
      </c>
      <c r="AE84" s="301"/>
      <c r="AF84" s="301"/>
      <c r="AG84" s="301"/>
      <c r="AH84" s="301"/>
      <c r="AI84" s="303"/>
      <c r="AJ84" s="303"/>
      <c r="AK84" s="303"/>
      <c r="AL84" s="303"/>
    </row>
    <row r="85" spans="1:38" ht="14.85" hidden="1" customHeight="1">
      <c r="B85" s="291" t="str">
        <v>Vivaro gold brushed - maximum profile length 2150 mm</v>
      </c>
      <c r="C85" s="293"/>
      <c r="D85" s="293"/>
      <c r="E85" s="293"/>
      <c r="F85" s="293"/>
      <c r="G85" s="293"/>
      <c r="H85" s="293"/>
      <c r="I85" s="293"/>
      <c r="J85" s="293"/>
      <c r="K85" s="293"/>
      <c r="L85" s="293"/>
      <c r="M85" s="293"/>
      <c r="N85" s="293"/>
      <c r="O85" s="293"/>
      <c r="P85" s="293"/>
      <c r="Q85" s="293"/>
      <c r="R85" s="293"/>
      <c r="S85" s="293"/>
      <c r="T85" s="302"/>
      <c r="U85" s="302"/>
      <c r="V85" s="302"/>
      <c r="W85" s="302"/>
      <c r="X85" s="302"/>
      <c r="Y85" s="303"/>
      <c r="Z85" s="303"/>
      <c r="AA85" s="303"/>
      <c r="AB85" s="303"/>
      <c r="AC85" s="301"/>
      <c r="AD85" s="301" t="str">
        <f ca="1"/>
        <v>Lacobel RAL 9006</v>
      </c>
      <c r="AE85" s="301"/>
      <c r="AF85" s="301"/>
      <c r="AG85" s="301"/>
      <c r="AH85" s="301"/>
      <c r="AI85" s="303"/>
      <c r="AJ85" s="303"/>
      <c r="AK85" s="303"/>
      <c r="AL85" s="303"/>
    </row>
    <row r="86" spans="1:38" ht="14.85" hidden="1" customHeight="1">
      <c r="B86" s="291" t="str">
        <v>Rocca elox (Left and Right) + Varna elox (Top and Bottom)</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str">
        <f ca="1"/>
        <v>Lacobel RAL 9007</v>
      </c>
      <c r="AE86" s="301"/>
      <c r="AF86" s="301"/>
      <c r="AG86" s="301"/>
      <c r="AH86" s="301"/>
      <c r="AI86" s="303"/>
      <c r="AJ86" s="303"/>
      <c r="AK86" s="303"/>
      <c r="AL86" s="303"/>
    </row>
    <row r="87" spans="1:38" ht="14.85" hidden="1" customHeight="1">
      <c r="B87" s="291" t="str">
        <v>Rocca black (Left and right) + Varna black (Top and bottom)</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str">
        <f ca="1"/>
        <v>Lacobel RAL 9010</v>
      </c>
      <c r="AE87" s="301"/>
      <c r="AF87" s="301"/>
      <c r="AG87" s="301"/>
      <c r="AH87" s="301"/>
      <c r="AI87" s="303"/>
      <c r="AJ87" s="303"/>
      <c r="AK87" s="303"/>
      <c r="AL87" s="303"/>
    </row>
    <row r="88" spans="1:38" ht="14.85" hidden="1" customHeight="1">
      <c r="B88" s="291" t="str">
        <v>ROMA black matt  - maximum profile length 2696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str">
        <f ca="1"/>
        <v xml:space="preserve">Matelac RAL 9003 </v>
      </c>
      <c r="AE88" s="301"/>
      <c r="AF88" s="301"/>
      <c r="AG88" s="301"/>
      <c r="AH88" s="301"/>
      <c r="AI88" s="303"/>
      <c r="AJ88" s="303"/>
      <c r="AK88" s="303"/>
      <c r="AL88" s="303"/>
    </row>
    <row r="89" spans="1:38" ht="14.85" hidden="1" customHeight="1">
      <c r="B89" s="291" t="str">
        <v>ROMA champagne matt  - maximum profile length 2696 mm</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str">
        <f ca="1"/>
        <v xml:space="preserve">Matelac RAL 9005 </v>
      </c>
      <c r="AE89" s="301"/>
      <c r="AF89" s="301"/>
      <c r="AG89" s="301"/>
      <c r="AH89" s="301"/>
      <c r="AI89" s="303"/>
      <c r="AJ89" s="303"/>
      <c r="AK89" s="303"/>
      <c r="AL89" s="303"/>
    </row>
    <row r="90" spans="1:38" ht="14.85" hidden="1" customHeight="1">
      <c r="B90" s="291" t="str">
        <v>ROMA GRIP black matt  - maximum profile length 2696 mm</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str">
        <f ca="1"/>
        <v>Matelac mirror bronze</v>
      </c>
      <c r="AE90" s="301"/>
      <c r="AF90" s="301"/>
      <c r="AG90" s="301"/>
      <c r="AH90" s="301"/>
      <c r="AI90" s="303"/>
      <c r="AJ90" s="303"/>
      <c r="AK90" s="303"/>
      <c r="AL90" s="303"/>
    </row>
    <row r="91" spans="1:38" ht="14.85" hidden="1" customHeight="1">
      <c r="B91" s="291" t="str">
        <v>ROMA GRIP champagne matt  - maximum profile length 2696 mm</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str">
        <f ca="1"/>
        <v>Matelac mirror graphite</v>
      </c>
      <c r="AE91" s="301"/>
      <c r="AF91" s="301"/>
      <c r="AG91" s="301"/>
      <c r="AH91" s="301"/>
      <c r="AI91" s="303"/>
      <c r="AJ91" s="303"/>
      <c r="AK91" s="303"/>
      <c r="AL91" s="303"/>
    </row>
    <row r="92" spans="1:38" ht="14.85" hidden="1" customHeight="1">
      <c r="B92" s="291"/>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str">
        <f ca="1"/>
        <v>Matelac mirror silver.</v>
      </c>
      <c r="AE92" s="301"/>
      <c r="AF92" s="301"/>
      <c r="AG92" s="301"/>
      <c r="AH92" s="301"/>
      <c r="AI92" s="303"/>
      <c r="AJ92" s="303"/>
      <c r="AK92" s="303"/>
      <c r="AL92" s="303"/>
    </row>
    <row r="93" spans="1:38" ht="14.85" hidden="1" customHeight="1">
      <c r="B93" s="291"/>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str">
        <f ca="1"/>
        <v>Optiwhite</v>
      </c>
      <c r="AE93" s="301"/>
      <c r="AF93" s="301"/>
      <c r="AG93" s="301"/>
      <c r="AH93" s="301"/>
      <c r="AI93" s="303"/>
      <c r="AJ93" s="303"/>
      <c r="AK93" s="303"/>
      <c r="AL93" s="303"/>
    </row>
    <row r="94" spans="1:38" ht="14.85" hidden="1" customHeight="1">
      <c r="B94" s="291"/>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str">
        <f ca="1"/>
        <v>Moru brown vertical</v>
      </c>
      <c r="AE94" s="301"/>
      <c r="AF94" s="301"/>
      <c r="AG94" s="301"/>
      <c r="AH94" s="301"/>
      <c r="AI94" s="303"/>
      <c r="AJ94" s="303"/>
      <c r="AK94" s="303"/>
      <c r="AL94" s="303"/>
    </row>
    <row r="95" spans="1:38" ht="14.85" hidden="1" customHeight="1">
      <c r="B95" s="291"/>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str">
        <f ca="1"/>
        <v xml:space="preserve">Moru graphite vertical </v>
      </c>
      <c r="AE95" s="301"/>
      <c r="AF95" s="301"/>
      <c r="AG95" s="301"/>
      <c r="AH95" s="301"/>
      <c r="AI95" s="303"/>
      <c r="AJ95" s="303"/>
      <c r="AK95" s="303"/>
      <c r="AL95" s="303"/>
    </row>
    <row r="96" spans="1:38" ht="14.85" hidden="1" customHeight="1">
      <c r="B96" s="291"/>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str">
        <f ca="1"/>
        <v>Moru brown horizontal</v>
      </c>
      <c r="AE96" s="301"/>
      <c r="AF96" s="301"/>
      <c r="AG96" s="301"/>
      <c r="AH96" s="301"/>
      <c r="AI96" s="303"/>
      <c r="AJ96" s="303"/>
      <c r="AK96" s="303"/>
      <c r="AL96" s="303"/>
    </row>
    <row r="97" spans="2:38" ht="14.85" hidden="1" customHeight="1">
      <c r="B97" s="291"/>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str">
        <f ca="1"/>
        <v>Moru graphite horizontal</v>
      </c>
      <c r="AE97" s="301"/>
      <c r="AF97" s="301"/>
      <c r="AG97" s="301"/>
      <c r="AH97" s="301"/>
      <c r="AI97" s="303"/>
      <c r="AJ97" s="303"/>
      <c r="AK97" s="303"/>
      <c r="AL97" s="303"/>
    </row>
    <row r="98" spans="2:38" ht="14.85" hidden="1" customHeight="1">
      <c r="B98" s="291"/>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LTWQBErYenRfUaXd9AOQxYoDVcYG0PcuW4UMWfhupLtIMuH3YAv/T4qR6hNVh4ZzDkak5uLvAjOEemOr73w7Q==" saltValue="JUq8Q13/CljPvbCegaTARw==" spinCount="100000" sheet="1" objects="1" scenarios="1"/>
  <protectedRanges>
    <protectedRange sqref="G7 I7:R7" name="Oblast1"/>
  </protectedRanges>
  <mergeCells count="99">
    <mergeCell ref="B26:F26"/>
    <mergeCell ref="H26:Q26"/>
    <mergeCell ref="B27:F27"/>
    <mergeCell ref="H27:Q27"/>
    <mergeCell ref="H19:Q19"/>
    <mergeCell ref="H25:Q25"/>
    <mergeCell ref="B32:Q32"/>
    <mergeCell ref="B28:F28"/>
    <mergeCell ref="H28:Q28"/>
    <mergeCell ref="B30:J31"/>
    <mergeCell ref="K30:K31"/>
    <mergeCell ref="L30:O31"/>
    <mergeCell ref="P30:Q31"/>
    <mergeCell ref="D29:O29"/>
    <mergeCell ref="P29:Q29"/>
    <mergeCell ref="AM14:AM21"/>
    <mergeCell ref="H18:Q18"/>
    <mergeCell ref="H21:Q21"/>
    <mergeCell ref="N16:Q16"/>
    <mergeCell ref="S13:Y17"/>
    <mergeCell ref="H13:Q13"/>
    <mergeCell ref="H14:Q14"/>
    <mergeCell ref="F20:I20"/>
    <mergeCell ref="J20:M20"/>
    <mergeCell ref="B19:F19"/>
    <mergeCell ref="B15:F15"/>
    <mergeCell ref="H15:Q15"/>
    <mergeCell ref="B16:E16"/>
    <mergeCell ref="AC24:AG24"/>
    <mergeCell ref="F16:I16"/>
    <mergeCell ref="J16:M16"/>
    <mergeCell ref="B17:F17"/>
    <mergeCell ref="B18:F18"/>
    <mergeCell ref="B21:F21"/>
    <mergeCell ref="B20:E20"/>
    <mergeCell ref="H23:Q23"/>
    <mergeCell ref="AD14:AD21"/>
    <mergeCell ref="AP2:AS3"/>
    <mergeCell ref="BD3:BH3"/>
    <mergeCell ref="BI3:BM3"/>
    <mergeCell ref="B5:D5"/>
    <mergeCell ref="F5:H5"/>
    <mergeCell ref="J5:L5"/>
    <mergeCell ref="N5:P5"/>
    <mergeCell ref="R5:T5"/>
    <mergeCell ref="AB4:AN5"/>
    <mergeCell ref="V5:X5"/>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47:AQ47"/>
    <mergeCell ref="R33:S33"/>
    <mergeCell ref="R34:S34"/>
    <mergeCell ref="V34:W34"/>
    <mergeCell ref="AN47:AO47"/>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s>
  <conditionalFormatting sqref="B5 F5 J5 N5 R5 V5">
    <cfRule type="cellIs" dxfId="582" priority="24" operator="equal">
      <formula>$A$2</formula>
    </cfRule>
  </conditionalFormatting>
  <conditionalFormatting sqref="B16:I16">
    <cfRule type="expression" dxfId="581" priority="45">
      <formula>$AU$19=0</formula>
    </cfRule>
  </conditionalFormatting>
  <conditionalFormatting sqref="B9:Q9">
    <cfRule type="expression" dxfId="580" priority="30">
      <formula>$B$9=0</formula>
    </cfRule>
  </conditionalFormatting>
  <conditionalFormatting sqref="B11:Q11">
    <cfRule type="expression" dxfId="579" priority="44">
      <formula>$AU$10=0</formula>
    </cfRule>
  </conditionalFormatting>
  <conditionalFormatting sqref="B14:Q14">
    <cfRule type="expression" dxfId="578" priority="29">
      <formula>$B$14=0</formula>
    </cfRule>
  </conditionalFormatting>
  <conditionalFormatting sqref="B17:Q17">
    <cfRule type="expression" dxfId="577" priority="28">
      <formula>$B$17=0</formula>
    </cfRule>
  </conditionalFormatting>
  <conditionalFormatting sqref="B18:Q18">
    <cfRule type="expression" dxfId="576" priority="14" stopIfTrue="1">
      <formula>$B$18=0</formula>
    </cfRule>
    <cfRule type="expression" dxfId="575" priority="17">
      <formula>$F$16=$H$61</formula>
    </cfRule>
  </conditionalFormatting>
  <conditionalFormatting sqref="B19:Q19">
    <cfRule type="expression" dxfId="574" priority="27">
      <formula>$B$19=0</formula>
    </cfRule>
  </conditionalFormatting>
  <conditionalFormatting sqref="B20:Q20">
    <cfRule type="expression" dxfId="573" priority="26">
      <formula>$B$19=0</formula>
    </cfRule>
    <cfRule type="expression" dxfId="572" priority="25">
      <formula>$B$20=0</formula>
    </cfRule>
  </conditionalFormatting>
  <conditionalFormatting sqref="B21:Q21">
    <cfRule type="expression" dxfId="571" priority="6">
      <formula>$B$21=" "</formula>
    </cfRule>
  </conditionalFormatting>
  <conditionalFormatting sqref="B24:Q24">
    <cfRule type="expression" dxfId="570" priority="19" stopIfTrue="1">
      <formula>$T$59&lt;3</formula>
    </cfRule>
  </conditionalFormatting>
  <conditionalFormatting sqref="H23">
    <cfRule type="expression" dxfId="569" priority="31">
      <formula>$H$25&gt;0</formula>
    </cfRule>
  </conditionalFormatting>
  <conditionalFormatting sqref="H10:L11">
    <cfRule type="expression" dxfId="568" priority="23">
      <formula>$AU$10=2</formula>
    </cfRule>
  </conditionalFormatting>
  <conditionalFormatting sqref="H10:Q10">
    <cfRule type="expression" dxfId="567" priority="22">
      <formula>$AU$10=0</formula>
    </cfRule>
  </conditionalFormatting>
  <conditionalFormatting sqref="H22:Q22 B22:G23">
    <cfRule type="expression" dxfId="566" priority="20">
      <formula>$AS$33=1</formula>
    </cfRule>
  </conditionalFormatting>
  <conditionalFormatting sqref="J16:M16">
    <cfRule type="expression" dxfId="565" priority="16" stopIfTrue="1">
      <formula>$K$60=TRUE</formula>
    </cfRule>
  </conditionalFormatting>
  <conditionalFormatting sqref="J16:N16">
    <cfRule type="expression" dxfId="564" priority="18" stopIfTrue="1">
      <formula>$AV$19=0</formula>
    </cfRule>
  </conditionalFormatting>
  <conditionalFormatting sqref="M10:Q11">
    <cfRule type="expression" dxfId="563" priority="21">
      <formula>$AU$10=1</formula>
    </cfRule>
  </conditionalFormatting>
  <conditionalFormatting sqref="N16:Q16">
    <cfRule type="expression" dxfId="562" priority="15" stopIfTrue="1">
      <formula>$K$60=TRUE</formula>
    </cfRule>
  </conditionalFormatting>
  <conditionalFormatting sqref="P29:Q29">
    <cfRule type="expression" dxfId="561" priority="1">
      <formula>$U$41=2</formula>
    </cfRule>
  </conditionalFormatting>
  <conditionalFormatting sqref="AA9:AA10 AA24:AA25">
    <cfRule type="expression" dxfId="560" priority="10" stopIfTrue="1">
      <formula>$AU$17=1</formula>
    </cfRule>
  </conditionalFormatting>
  <conditionalFormatting sqref="AA16:AA17">
    <cfRule type="expression" dxfId="559" priority="5" stopIfTrue="1">
      <formula>$AU$24="1_3"</formula>
    </cfRule>
  </conditionalFormatting>
  <conditionalFormatting sqref="AB6 AA6:AA7 AA27 AA28:AB28">
    <cfRule type="expression" dxfId="558" priority="4" stopIfTrue="1">
      <formula>$AV$17=1</formula>
    </cfRule>
  </conditionalFormatting>
  <conditionalFormatting sqref="AB29:AO29">
    <cfRule type="cellIs" dxfId="557" priority="2" operator="equal">
      <formula>0</formula>
    </cfRule>
  </conditionalFormatting>
  <conditionalFormatting sqref="AC6:AD6 AM6:AN6">
    <cfRule type="expression" dxfId="556" priority="12" stopIfTrue="1">
      <formula>$AU$17=3</formula>
    </cfRule>
  </conditionalFormatting>
  <conditionalFormatting sqref="AC25:AD25 AJ26:AJ27">
    <cfRule type="expression" dxfId="555" priority="39">
      <formula>$AU$25=4</formula>
    </cfRule>
  </conditionalFormatting>
  <conditionalFormatting sqref="AC28:AD28 AM28:AN28">
    <cfRule type="expression" dxfId="554" priority="11" stopIfTrue="1">
      <formula>$AU$17=4</formula>
    </cfRule>
  </conditionalFormatting>
  <conditionalFormatting sqref="AC8:AG8">
    <cfRule type="expression" dxfId="553" priority="43">
      <formula>$AU$25=3</formula>
    </cfRule>
  </conditionalFormatting>
  <conditionalFormatting sqref="AC24:AG24">
    <cfRule type="expression" dxfId="552" priority="40">
      <formula>$AU$25=4</formula>
    </cfRule>
  </conditionalFormatting>
  <conditionalFormatting sqref="AD10:AD12 AB19:AC19">
    <cfRule type="expression" dxfId="551" priority="33">
      <formula>$AU$25=1</formula>
    </cfRule>
  </conditionalFormatting>
  <conditionalFormatting sqref="AD14:AD21">
    <cfRule type="expression" dxfId="550" priority="32">
      <formula>$AU$25=1</formula>
    </cfRule>
  </conditionalFormatting>
  <conditionalFormatting sqref="AE10:AE16">
    <cfRule type="expression" dxfId="549" priority="41">
      <formula>$AU$25=1</formula>
    </cfRule>
  </conditionalFormatting>
  <conditionalFormatting sqref="AF9:AK9">
    <cfRule type="expression" dxfId="548" priority="36">
      <formula>$AU$25=3</formula>
    </cfRule>
  </conditionalFormatting>
  <conditionalFormatting sqref="AF25:AK25">
    <cfRule type="expression" dxfId="547" priority="38">
      <formula>$AU$25=4</formula>
    </cfRule>
  </conditionalFormatting>
  <conditionalFormatting sqref="AG6:AH6">
    <cfRule type="expression" dxfId="546" priority="8" stopIfTrue="1">
      <formula>$AU$24="3_3"</formula>
    </cfRule>
  </conditionalFormatting>
  <conditionalFormatting sqref="AG28:AH28">
    <cfRule type="expression" dxfId="545" priority="7" stopIfTrue="1">
      <formula>$AU$24="4_3"</formula>
    </cfRule>
  </conditionalFormatting>
  <conditionalFormatting sqref="AJ7:AJ8 AC9:AD9">
    <cfRule type="expression" dxfId="544" priority="37">
      <formula>$AU$25=3</formula>
    </cfRule>
  </conditionalFormatting>
  <conditionalFormatting sqref="AL19:AL25">
    <cfRule type="expression" dxfId="543" priority="42">
      <formula>$AU$25=2</formula>
    </cfRule>
  </conditionalFormatting>
  <conditionalFormatting sqref="AM14:AM21">
    <cfRule type="expression" dxfId="542" priority="34">
      <formula>$AU$25=2</formula>
    </cfRule>
  </conditionalFormatting>
  <conditionalFormatting sqref="AN19:AO19 AM23:AM25">
    <cfRule type="expression" dxfId="541" priority="35">
      <formula>$AU$25=2</formula>
    </cfRule>
  </conditionalFormatting>
  <conditionalFormatting sqref="AO6 AP6:AP7 AP27 AO28:AP28">
    <cfRule type="expression" dxfId="540" priority="3" stopIfTrue="1">
      <formula>$AV$17=2</formula>
    </cfRule>
  </conditionalFormatting>
  <conditionalFormatting sqref="AP9:AP10 AP24:AP25">
    <cfRule type="expression" dxfId="539" priority="9" stopIfTrue="1">
      <formula>$AU$17=2</formula>
    </cfRule>
  </conditionalFormatting>
  <conditionalFormatting sqref="AP16:AP17">
    <cfRule type="expression" dxfId="538" priority="13" stopIfTrue="1">
      <formula>$AU$24="2_3"</formula>
    </cfRule>
  </conditionalFormatting>
  <dataValidations count="20">
    <dataValidation type="whole" allowBlank="1" showInputMessage="1" showErrorMessage="1" sqref="H11:L11" xr:uid="{5CF40E86-0317-4BA5-A7BE-1EF3EDD9B845}">
      <formula1>1</formula1>
      <formula2>(AR14/100)-1</formula2>
    </dataValidation>
    <dataValidation type="whole" allowBlank="1" showInputMessage="1" showErrorMessage="1" sqref="M11:Q11" xr:uid="{CEF30A81-2CF0-485E-B238-C7872F7489E1}">
      <formula1>1</formula1>
      <formula2>(AI30/100)-1</formula2>
    </dataValidation>
    <dataValidation type="whole" allowBlank="1" showInputMessage="1" showErrorMessage="1" errorTitle="Minimum 80 mm" sqref="F20:I20 N20:Q20" xr:uid="{2A5B2D6F-7B79-43B7-B0C3-727B9D21B502}">
      <formula1>80</formula1>
      <formula2>1300</formula2>
    </dataValidation>
    <dataValidation type="whole" operator="greaterThanOrEqual" allowBlank="1" showInputMessage="1" showErrorMessage="1" sqref="H26:Q26" xr:uid="{BE1BA38A-7AC8-462D-8CF3-F065578A2EE6}">
      <formula1>1</formula1>
    </dataValidation>
    <dataValidation type="list" allowBlank="1" showInputMessage="1" showErrorMessage="1" sqref="H12:Q12" xr:uid="{6623658E-8C6B-45A2-9701-643710FED1C1}">
      <formula1>$L$36:$M$36</formula1>
    </dataValidation>
    <dataValidation type="list" allowBlank="1" showInputMessage="1" showErrorMessage="1" sqref="H14:Q14" xr:uid="{173783E3-0F60-4B10-845A-A1C273460430}">
      <formula1>$P$36:$P$38</formula1>
    </dataValidation>
    <dataValidation type="list" allowBlank="1" showInputMessage="1" showErrorMessage="1" sqref="H21:Q21" xr:uid="{928B9CF3-E319-4ED2-BC02-C51D9FD60C96}">
      <formula1>$T$54:$T$56</formula1>
    </dataValidation>
    <dataValidation type="list" allowBlank="1" showInputMessage="1" showErrorMessage="1" sqref="H24:Q24" xr:uid="{3FAAF4FA-7A22-47C1-93B3-7CD20FF4CAEE}">
      <formula1>$X$54:$X$56</formula1>
    </dataValidation>
    <dataValidation type="list" allowBlank="1" showInputMessage="1" showErrorMessage="1" sqref="H19:Q19" xr:uid="{F81EFF69-9B31-42EE-944B-4633853A168E}">
      <formula1>IF(H13="Salice",$AJ$36,($AJ$36:$AJ$40))</formula1>
    </dataValidation>
    <dataValidation type="list" allowBlank="1" showInputMessage="1" showErrorMessage="1" sqref="H18:Q18" xr:uid="{6788F395-540C-4256-80DC-647BB13C65AD}">
      <formula1>$AF$36:$AF$41</formula1>
    </dataValidation>
    <dataValidation type="list" allowBlank="1" showInputMessage="1" showErrorMessage="1" sqref="N16:Q16" xr:uid="{298F8A4D-2D6B-4F45-BC9D-3FEA62330643}">
      <formula1>$K$54:$K$58</formula1>
    </dataValidation>
    <dataValidation type="list" allowBlank="1" showInputMessage="1" showErrorMessage="1" sqref="H13:Q13" xr:uid="{7591BE3D-AB33-4582-859D-B03F9B45ABA0}">
      <formula1>IF(M38="Salice",$L$38,$L$38:$L$42)</formula1>
    </dataValidation>
    <dataValidation type="list" allowBlank="1" showInputMessage="1" showErrorMessage="1" sqref="H15:Q15" xr:uid="{7CF1A6D4-6F92-42B6-B585-FE78BADA8CF4}">
      <formula1>$T$36:$T$44</formula1>
    </dataValidation>
    <dataValidation type="list" allowBlank="1" showInputMessage="1" showErrorMessage="1" sqref="F16:I16" xr:uid="{0836C2EA-BF85-4D3E-8F12-25F667045EBA}">
      <formula1>$O$65:$O$71</formula1>
    </dataValidation>
    <dataValidation type="list" allowBlank="1" showInputMessage="1" showErrorMessage="1" sqref="H17:Q17" xr:uid="{74245D10-2C47-48CE-A794-F0949D1D3E27}">
      <formula1>$P$82:$P$90</formula1>
    </dataValidation>
    <dataValidation type="whole" operator="lessThan" showInputMessage="1" showErrorMessage="1" sqref="AI30:AK30" xr:uid="{773EA7EF-E024-4BB7-BAC9-6D88704ECF99}">
      <formula1>IF(AR14&lt;AI43+1,AJ43+1,AI43+1)</formula1>
    </dataValidation>
    <dataValidation type="whole" operator="lessThan" showErrorMessage="1" sqref="AR14:AR18" xr:uid="{019B079D-998F-46EE-9314-ED6C497F058A}">
      <formula1>IF(AI30&lt;AI43+1,AJ43+1,AI43+1)</formula1>
    </dataValidation>
    <dataValidation type="list" allowBlank="1" showInputMessage="1" showErrorMessage="1" sqref="P29:Q29" xr:uid="{88696793-B7D9-46C6-96A0-995E247A5D4C}">
      <formula1>$W$37:$W$38</formula1>
    </dataValidation>
    <dataValidation type="list" allowBlank="1" showInputMessage="1" showErrorMessage="1" sqref="H25:Q25" xr:uid="{64B0F902-437F-4DF9-9D02-1B4F21ED97AF}">
      <formula1>$AD$54:$AD$97</formula1>
    </dataValidation>
    <dataValidation type="list" allowBlank="1" showInputMessage="1" showErrorMessage="1" sqref="H8:Q8" xr:uid="{2B536D2A-D771-4A8C-94D3-A32F3EC8B8D7}">
      <formula1>B36:B91</formula1>
    </dataValidation>
  </dataValidations>
  <hyperlinks>
    <hyperlink ref="AP2:AS3" location="Hlavní!A1" display="Hlavní!A1" xr:uid="{B31E53C6-8D26-49F7-9744-7AD8183565AA}"/>
    <hyperlink ref="F5:H5" location="Ram_2!A1" display="Ram_2!A1" xr:uid="{C2365B96-4AEF-4C12-8829-CC382C5A90E9}"/>
    <hyperlink ref="N5:P5" location="Ram_4!A1" display="Ram_4!A1" xr:uid="{0C23D4A4-A023-4CA8-BA4B-895A712F79D4}"/>
    <hyperlink ref="R5:T5" location="Ram_5!A1" display="Ram_5!A1" xr:uid="{3CDE14B2-16E6-4149-A294-788A3927415A}"/>
    <hyperlink ref="V5:X5" location="Ram_6!A1" display="Ram_6!A1" xr:uid="{0900418B-A0B5-4FCD-ABE0-75019F5859E1}"/>
    <hyperlink ref="B5:D5" location="Ram_1!A1" display="Ram_1!A1" xr:uid="{610E6873-A698-4502-8550-BED162E98A51}"/>
    <hyperlink ref="AO31:AR32" location="_souhrn!A1" display="_souhrn!A1" xr:uid="{D3A5D2EC-BB13-43D9-BA33-032416ECAA23}"/>
    <hyperlink ref="J5:L5" location="Ram_3!A1" display="Ram_3!A1" xr:uid="{219A83D0-EB49-4318-8685-0F9111CF74FA}"/>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57150</xdr:colOff>
                    <xdr:row>6</xdr:row>
                    <xdr:rowOff>171450</xdr:rowOff>
                  </from>
                  <to>
                    <xdr:col>5</xdr:col>
                    <xdr:colOff>314325</xdr:colOff>
                    <xdr:row>7</xdr:row>
                    <xdr:rowOff>238125</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0AD4C6F-C741-49FD-844A-5C27946FC7E0}">
          <x14:formula1>
            <xm:f>'závěsy dle výklopu'!$BW$2:$BW$5</xm:f>
          </x14:formula1>
          <xm:sqref>H27:Q27</xm:sqref>
        </x14:dataValidation>
        <x14:dataValidation type="list" allowBlank="1" showInputMessage="1" showErrorMessage="1" xr:uid="{8861ED1B-F83D-4F7F-8846-69A25B11A415}">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H673"/>
  <sheetViews>
    <sheetView topLeftCell="DH1" workbookViewId="0">
      <selection activeCell="DN3" sqref="DN3:DN4"/>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25</v>
      </c>
      <c r="F1" t="s">
        <v>1864</v>
      </c>
      <c r="H1" t="b">
        <v>0</v>
      </c>
      <c r="M1" t="s">
        <v>1865</v>
      </c>
      <c r="P1" t="e">
        <f t="array" ref="P1">IF($S$1=Varianta_N1,_N1,IF($S$1=Varianta_A1,_A1,IF($S$1=Varianta_N2,_N2,IF($S$1=Varianta_A2,_A2,IF($S$1=Varianta_N3,_N3,IF($S$1=Varianta_A3,_A3,0))))))</f>
        <v>#NAME?</v>
      </c>
      <c r="Q1" s="326" t="s">
        <v>1930</v>
      </c>
      <c r="R1" s="11" t="str">
        <f>VLOOKUP(Ram_3!H8,kombinace_3!$A$3:$C$75,3,0)</f>
        <v>N</v>
      </c>
      <c r="S1" t="str">
        <f>CONCATENATE("_",R1,V1)</f>
        <v>_N1</v>
      </c>
      <c r="U1" s="326" t="s">
        <v>1929</v>
      </c>
      <c r="V1" s="11">
        <f>IFERROR(VLOOKUP(Ram_3!H21,$EN$3:$EO$5,2,0),1)</f>
        <v>1</v>
      </c>
      <c r="X1" t="s">
        <v>1866</v>
      </c>
      <c r="AA1" t="s">
        <v>1021</v>
      </c>
      <c r="AF1" t="s">
        <v>1867</v>
      </c>
      <c r="AX1" t="s">
        <v>693</v>
      </c>
      <c r="BC1" t="s">
        <v>9</v>
      </c>
      <c r="BK1" t="s">
        <v>987</v>
      </c>
      <c r="BM1" t="s">
        <v>1919</v>
      </c>
      <c r="ER1" t="s">
        <v>3124</v>
      </c>
      <c r="ES1" t="s">
        <v>3129</v>
      </c>
      <c r="EV1">
        <v>1</v>
      </c>
      <c r="EW1" t="s">
        <v>3146</v>
      </c>
      <c r="EY1" t="s">
        <v>3249</v>
      </c>
      <c r="FA1" t="s">
        <v>3250</v>
      </c>
      <c r="FC1" t="s">
        <v>3248</v>
      </c>
      <c r="FE1" t="s">
        <v>3261</v>
      </c>
      <c r="FF1" t="s">
        <v>3262</v>
      </c>
      <c r="FG1" t="s">
        <v>3263</v>
      </c>
      <c r="FH1" t="s">
        <v>3264</v>
      </c>
    </row>
    <row r="2" spans="1:164">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CONCATENATE("_",Ram_3!H12,"_",Ram_3!H13)</f>
        <v>__</v>
      </c>
      <c r="BV2" t="s">
        <v>1947</v>
      </c>
      <c r="BW2" t="s">
        <v>1942</v>
      </c>
      <c r="BY2" t="s">
        <v>220</v>
      </c>
      <c r="CA2" t="s">
        <v>1974</v>
      </c>
      <c r="CD2" t="s">
        <v>2049</v>
      </c>
      <c r="CF2" t="s">
        <v>2294</v>
      </c>
      <c r="DN2" t="str">
        <f>'Translate&amp;Prices&amp;Logo'!B553</f>
        <v>Overlay</v>
      </c>
      <c r="DP2" t="str">
        <f>'Translate&amp;Prices&amp;Logo'!$B$551</f>
        <v>Hinges</v>
      </c>
      <c r="DQ2">
        <v>2</v>
      </c>
      <c r="ED2" t="s">
        <v>2617</v>
      </c>
      <c r="EE2" t="s">
        <v>2711</v>
      </c>
      <c r="ER2" t="s">
        <v>3125</v>
      </c>
      <c r="ES2" t="s">
        <v>3130</v>
      </c>
      <c r="EV2">
        <v>2</v>
      </c>
      <c r="EW2" t="s">
        <v>3147</v>
      </c>
      <c r="EY2" s="366" t="str">
        <f>'Translate&amp;Prices&amp;Logo'!B164</f>
        <v>mesh aluminum gold - field 10x6x1 mm</v>
      </c>
      <c r="FA2" s="168">
        <f>'Translate&amp;Prices&amp;Logo'!B644</f>
        <v>0</v>
      </c>
      <c r="FC2" t="b">
        <v>0</v>
      </c>
    </row>
    <row r="3" spans="1:164">
      <c r="A3" t="str">
        <f>'Translate&amp;Prices&amp;Logo'!$B$6</f>
        <v>BRW (elox.) - maximum profile length 2500 mm</v>
      </c>
      <c r="B3">
        <v>1</v>
      </c>
      <c r="C3" t="s">
        <v>1122</v>
      </c>
      <c r="D3">
        <v>1</v>
      </c>
      <c r="F3" t="s">
        <v>1883</v>
      </c>
      <c r="G3" t="s">
        <v>672</v>
      </c>
      <c r="H3" t="s">
        <v>1884</v>
      </c>
      <c r="I3">
        <v>1</v>
      </c>
      <c r="J3">
        <v>2</v>
      </c>
      <c r="K3" t="s">
        <v>1122</v>
      </c>
      <c r="M3" t="s">
        <v>1885</v>
      </c>
      <c r="N3" t="s">
        <v>947</v>
      </c>
      <c r="X3" t="str">
        <f>'Translate&amp;Prices&amp;Logo'!$B$563</f>
        <v>Transparent</v>
      </c>
      <c r="Y3">
        <v>1</v>
      </c>
      <c r="AA3" t="s">
        <v>3051</v>
      </c>
      <c r="AB3" t="s">
        <v>1942</v>
      </c>
      <c r="AF3" t="s">
        <v>215</v>
      </c>
      <c r="AG3" t="s">
        <v>3407</v>
      </c>
      <c r="AY3" t="s">
        <v>1917</v>
      </c>
      <c r="BK3" t="s">
        <v>215</v>
      </c>
      <c r="BU3" t="e">
        <f>VLOOKUP(BU2,BV:BW,2,0)</f>
        <v>#N/A</v>
      </c>
      <c r="BV3" t="s">
        <v>1950</v>
      </c>
      <c r="BW3" t="s">
        <v>1946</v>
      </c>
      <c r="BY3" t="str">
        <f>'Translate&amp;Prices&amp;Logo'!$B$230</f>
        <v>Left</v>
      </c>
      <c r="BZ3">
        <v>1</v>
      </c>
      <c r="CA3">
        <v>32</v>
      </c>
      <c r="CD3" t="s">
        <v>3404</v>
      </c>
      <c r="CE3">
        <v>1</v>
      </c>
      <c r="CF3">
        <v>1</v>
      </c>
      <c r="DN3" t="str">
        <f>IF(OR(Ram_3!$H$13&amp;Ram_3!$AU$7=Ram_3!$M$44,
Ram_3!$H$13&amp;Ram_3!$AU$7=Ram_3!$M$45,
Ram_3!$H$13&amp;Ram_3!$AU$7=Ram_3!$M$46,
Ram_3!$H$13&amp;Ram_3!$AU$7=Ram_3!$M$47),
'Translate&amp;Prices&amp;Logo'!B657,'Translate&amp;Prices&amp;Logo'!B554)</f>
        <v>Half-overlay</v>
      </c>
      <c r="DP3" t="str">
        <f>'Translate&amp;Prices&amp;Logo'!$B$552</f>
        <v>Lifts</v>
      </c>
      <c r="DQ3">
        <v>3</v>
      </c>
      <c r="ED3" t="s">
        <v>2618</v>
      </c>
      <c r="EE3" t="s">
        <v>2712</v>
      </c>
      <c r="EJ3">
        <v>1</v>
      </c>
      <c r="EK3" t="s">
        <v>333</v>
      </c>
      <c r="EN3" t="str">
        <f>'Translate&amp;Prices&amp;Logo'!B638</f>
        <v>Not treated</v>
      </c>
      <c r="EO3">
        <v>1</v>
      </c>
      <c r="ER3" t="s">
        <v>3123</v>
      </c>
      <c r="ES3" t="s">
        <v>3131</v>
      </c>
      <c r="EV3">
        <v>3</v>
      </c>
      <c r="EW3" t="s">
        <v>3148</v>
      </c>
      <c r="EY3" s="366" t="str">
        <f>'Translate&amp;Prices&amp;Logo'!B165</f>
        <v>mesh steel black matt - field 8x4x1 mm</v>
      </c>
      <c r="FA3" s="168">
        <f>'Translate&amp;Prices&amp;Logo'!B645</f>
        <v>0</v>
      </c>
    </row>
    <row r="4" spans="1:164">
      <c r="A4" t="str">
        <f>'Translate&amp;Prices&amp;Logo'!$B$8</f>
        <v>BRW white matt RAL 9003 - maximum profile length 2500 mm</v>
      </c>
      <c r="B4">
        <v>1</v>
      </c>
      <c r="C4" t="s">
        <v>1122</v>
      </c>
      <c r="D4">
        <v>0</v>
      </c>
      <c r="G4" t="s">
        <v>1884</v>
      </c>
      <c r="H4" t="s">
        <v>672</v>
      </c>
      <c r="I4">
        <v>0</v>
      </c>
      <c r="J4">
        <v>2</v>
      </c>
      <c r="K4" t="s">
        <v>1122</v>
      </c>
      <c r="M4" t="s">
        <v>1888</v>
      </c>
      <c r="N4" t="s">
        <v>1488</v>
      </c>
      <c r="X4" t="str">
        <f>'Translate&amp;Prices&amp;Logo'!$B$564</f>
        <v>White</v>
      </c>
      <c r="Y4">
        <v>2</v>
      </c>
      <c r="AA4" t="s">
        <v>1887</v>
      </c>
      <c r="AB4" t="s">
        <v>3404</v>
      </c>
      <c r="AC4">
        <v>1</v>
      </c>
      <c r="AD4">
        <v>1</v>
      </c>
      <c r="AF4" t="s">
        <v>216</v>
      </c>
      <c r="AG4" t="s">
        <v>3407</v>
      </c>
      <c r="AY4" t="s">
        <v>1917</v>
      </c>
      <c r="AZ4" t="s">
        <v>1952</v>
      </c>
      <c r="BK4" t="s">
        <v>216</v>
      </c>
      <c r="BV4" t="s">
        <v>1951</v>
      </c>
      <c r="BW4" t="s">
        <v>1945</v>
      </c>
      <c r="BY4" t="str">
        <f>'Translate&amp;Prices&amp;Logo'!$B$229</f>
        <v>Right</v>
      </c>
      <c r="BZ4">
        <v>2</v>
      </c>
      <c r="CA4">
        <v>64</v>
      </c>
      <c r="CD4" t="s">
        <v>3122</v>
      </c>
      <c r="CE4">
        <v>1</v>
      </c>
      <c r="CF4">
        <v>0</v>
      </c>
      <c r="DN4" t="str">
        <f>IF(OR(Ram_3!$H$13&amp;Ram_3!$AU$7=Ram_3!$M$44,
Ram_3!$H$13&amp;Ram_3!$AU$7=Ram_3!$M$45,
Ram_3!$H$13&amp;Ram_3!$AU$7=Ram_3!$M$46,
Ram_3!$H$13&amp;Ram_3!$AU$7=Ram_3!$M$47),
'Translate&amp;Prices&amp;Logo'!B657,'Translate&amp;Prices&amp;Logo'!B555)</f>
        <v>Inset</v>
      </c>
      <c r="ED4" t="s">
        <v>2619</v>
      </c>
      <c r="EE4" t="s">
        <v>2713</v>
      </c>
      <c r="EJ4">
        <v>2</v>
      </c>
      <c r="EK4" t="s">
        <v>334</v>
      </c>
      <c r="EN4" t="str">
        <f>'Translate&amp;Prices&amp;Logo'!B639</f>
        <v>Harded (delivery is 4 weeks)</v>
      </c>
      <c r="EO4">
        <v>2</v>
      </c>
      <c r="ER4" t="s">
        <v>3482</v>
      </c>
      <c r="ES4" t="s">
        <v>3483</v>
      </c>
      <c r="EV4">
        <v>4</v>
      </c>
      <c r="EW4" t="s">
        <v>3149</v>
      </c>
      <c r="EY4" s="366" t="str">
        <f>'Translate&amp;Prices&amp;Logo'!B166</f>
        <v>mesh steel white - field 8x4x1 mm</v>
      </c>
      <c r="FA4" s="168">
        <f>'Translate&amp;Prices&amp;Logo'!B646</f>
        <v>0</v>
      </c>
      <c r="FD4" s="388"/>
    </row>
    <row r="5" spans="1:164">
      <c r="A5" t="str">
        <f>'Translate&amp;Prices&amp;Logo'!$B$9</f>
        <v>BRW white gloss RAL 9003 - maximum profile length 2500 mm</v>
      </c>
      <c r="B5">
        <v>1</v>
      </c>
      <c r="C5" t="s">
        <v>1122</v>
      </c>
      <c r="D5">
        <v>0</v>
      </c>
      <c r="F5" t="s">
        <v>1890</v>
      </c>
      <c r="G5" t="s">
        <v>671</v>
      </c>
      <c r="H5" t="s">
        <v>1884</v>
      </c>
      <c r="I5">
        <v>1</v>
      </c>
      <c r="J5">
        <v>2</v>
      </c>
      <c r="K5" t="s">
        <v>1122</v>
      </c>
      <c r="M5" t="s">
        <v>1891</v>
      </c>
      <c r="N5" t="s">
        <v>967</v>
      </c>
      <c r="X5" t="str">
        <f>'Translate&amp;Prices&amp;Logo'!$B$565</f>
        <v>Black</v>
      </c>
      <c r="Y5">
        <v>3</v>
      </c>
      <c r="AA5" t="s">
        <v>1887</v>
      </c>
      <c r="AB5" t="s">
        <v>3408</v>
      </c>
      <c r="AC5">
        <v>0</v>
      </c>
      <c r="AD5">
        <v>0</v>
      </c>
      <c r="AF5" t="s">
        <v>215</v>
      </c>
      <c r="AG5" t="s">
        <v>3409</v>
      </c>
      <c r="AY5" t="s">
        <v>1917</v>
      </c>
      <c r="AZ5" t="s">
        <v>1953</v>
      </c>
      <c r="BK5" t="s">
        <v>1894</v>
      </c>
      <c r="BV5" t="s">
        <v>3534</v>
      </c>
      <c r="BW5" t="s">
        <v>3535</v>
      </c>
      <c r="BY5" t="str">
        <f>'Translate&amp;Prices&amp;Logo'!$B$227</f>
        <v>Top</v>
      </c>
      <c r="BZ5">
        <v>3</v>
      </c>
      <c r="CA5">
        <v>76</v>
      </c>
      <c r="CD5" t="s">
        <v>1897</v>
      </c>
      <c r="CE5">
        <v>1</v>
      </c>
      <c r="CF5">
        <v>0</v>
      </c>
      <c r="ED5" t="s">
        <v>2620</v>
      </c>
      <c r="EE5" t="s">
        <v>2714</v>
      </c>
      <c r="EJ5">
        <v>3</v>
      </c>
      <c r="EK5" t="s">
        <v>108</v>
      </c>
      <c r="EN5" t="str">
        <f>'Translate&amp;Prices&amp;Logo'!B640</f>
        <v>Foil</v>
      </c>
      <c r="EO5">
        <v>3</v>
      </c>
      <c r="ER5" t="s">
        <v>3484</v>
      </c>
      <c r="ES5" t="s">
        <v>3485</v>
      </c>
      <c r="EV5">
        <v>5</v>
      </c>
      <c r="EW5" t="s">
        <v>3147</v>
      </c>
      <c r="EY5" s="366" t="str">
        <f>'Translate&amp;Prices&amp;Logo'!B167</f>
        <v>mesh anodized - field 10x6x1 mm</v>
      </c>
      <c r="FA5" s="168">
        <f>'Translate&amp;Prices&amp;Logo'!B647</f>
        <v>0</v>
      </c>
      <c r="FD5" s="388"/>
    </row>
    <row r="6" spans="1:164">
      <c r="A6" t="str">
        <f>'Translate&amp;Prices&amp;Logo'!$B$11</f>
        <v>BRW brushed - maximum profile length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Bottom</v>
      </c>
      <c r="BZ6">
        <v>4</v>
      </c>
      <c r="CA6">
        <v>96</v>
      </c>
      <c r="CD6" t="s">
        <v>1900</v>
      </c>
      <c r="CE6">
        <v>1</v>
      </c>
      <c r="CF6">
        <v>1</v>
      </c>
      <c r="ED6" t="s">
        <v>2621</v>
      </c>
      <c r="EE6" t="s">
        <v>2715</v>
      </c>
      <c r="EJ6">
        <v>4</v>
      </c>
      <c r="EK6" t="s">
        <v>109</v>
      </c>
      <c r="ER6" t="s">
        <v>3486</v>
      </c>
      <c r="ES6" t="s">
        <v>3487</v>
      </c>
      <c r="FA6" s="168">
        <f>'Translate&amp;Prices&amp;Logo'!B648</f>
        <v>0</v>
      </c>
    </row>
    <row r="7" spans="1:164">
      <c r="A7" t="str">
        <f>'Translate&amp;Prices&amp;Logo'!$B$12</f>
        <v>BRW black matt - maximum profile length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3488</v>
      </c>
      <c r="ES7" t="s">
        <v>3489</v>
      </c>
      <c r="FA7" s="168">
        <f>'Translate&amp;Prices&amp;Logo'!B649</f>
        <v>0</v>
      </c>
      <c r="FD7" s="388"/>
    </row>
    <row r="8" spans="1:164">
      <c r="A8" t="str">
        <f>'Translate&amp;Prices&amp;Logo'!$B$14</f>
        <v>BRW black brushed - maximum profile length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3490</v>
      </c>
      <c r="ES8" t="s">
        <v>3491</v>
      </c>
      <c r="FA8" s="168">
        <f>'Translate&amp;Prices&amp;Logo'!B650</f>
        <v>0</v>
      </c>
    </row>
    <row r="9" spans="1:164">
      <c r="A9" t="str">
        <f>'Translate&amp;Prices&amp;Logo'!$B$15</f>
        <v>BRW Light Stainless Steel (ACIER GRATA) - maximum profile length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2718</v>
      </c>
      <c r="ER9" t="s">
        <v>3492</v>
      </c>
      <c r="ES9" t="s">
        <v>3493</v>
      </c>
      <c r="FA9">
        <f>'Translate&amp;Prices&amp;Logo'!B651</f>
        <v>0</v>
      </c>
    </row>
    <row r="10" spans="1:164">
      <c r="A10" t="str">
        <f>'Translate&amp;Prices&amp;Logo'!$B$7</f>
        <v>BRW anthracite RAL 7021 - maximum profile length 2500 mm</v>
      </c>
      <c r="B10">
        <v>1</v>
      </c>
      <c r="C10" t="s">
        <v>1122</v>
      </c>
      <c r="D10">
        <v>0</v>
      </c>
      <c r="M10" t="str">
        <f>'Translate&amp;Prices&amp;Logo'!B558</f>
        <v>Horizontal (delivery is 4 weeks)</v>
      </c>
      <c r="N10">
        <f>IF(Ram_3!$H$9=kombinace_3!M10,1,0)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8"/>
    </row>
    <row r="11" spans="1:164">
      <c r="A11" t="str">
        <f>'Translate&amp;Prices&amp;Logo'!$B$69</f>
        <v>BRW champagne - maximum profile length 2500 mm</v>
      </c>
      <c r="B11">
        <v>1</v>
      </c>
      <c r="C11" t="s">
        <v>1122</v>
      </c>
      <c r="D11">
        <v>0</v>
      </c>
      <c r="M11" t="str">
        <f>'Translate&amp;Prices&amp;Logo'!B559</f>
        <v>Vertical (delivery is 4 weeks)</v>
      </c>
      <c r="N11">
        <f>IF(Ram_3!$H$9=kombinace_3!M11,2,0)</f>
        <v>0</v>
      </c>
      <c r="AC11">
        <v>0</v>
      </c>
      <c r="AD11">
        <v>0</v>
      </c>
      <c r="AF11" t="s">
        <v>215</v>
      </c>
      <c r="AG11" t="s">
        <v>1902</v>
      </c>
      <c r="AY11" t="s">
        <v>1887</v>
      </c>
      <c r="AZ11" t="s">
        <v>1958</v>
      </c>
      <c r="BQ11" s="368" t="s">
        <v>3237</v>
      </c>
      <c r="BY11">
        <v>5</v>
      </c>
      <c r="CA11">
        <v>240</v>
      </c>
      <c r="CD11" t="str">
        <f>CONCATENATE('Translate&amp;Prices&amp;Logo'!B664,"_K12")</f>
        <v>bottom_K12</v>
      </c>
      <c r="CE11">
        <v>1</v>
      </c>
      <c r="CF11">
        <v>0</v>
      </c>
      <c r="DN11" t="s">
        <v>99</v>
      </c>
      <c r="DO11" s="11" t="s">
        <v>99</v>
      </c>
      <c r="ED11" t="s">
        <v>2626</v>
      </c>
      <c r="EE11" t="s">
        <v>2720</v>
      </c>
      <c r="ER11" t="s">
        <v>3127</v>
      </c>
      <c r="ES11" t="s">
        <v>3133</v>
      </c>
      <c r="FD11" s="388"/>
    </row>
    <row r="12" spans="1:164">
      <c r="A12" t="str">
        <f>'Translate&amp;Prices&amp;Logo'!$B$70</f>
        <v>BRW champagne light - maximum profile length 2500 mm</v>
      </c>
      <c r="B12">
        <v>1</v>
      </c>
      <c r="C12" t="s">
        <v>1122</v>
      </c>
      <c r="D12">
        <v>0</v>
      </c>
      <c r="M12" t="str">
        <f>'Translate&amp;Prices&amp;Logo'!B560</f>
        <v>Horizontal and vertical (delivery is 4 weeks)</v>
      </c>
      <c r="N12">
        <f>IF(Ram_3!$H$9=kombinace_3!M12,3,0)</f>
        <v>0</v>
      </c>
      <c r="AC12">
        <v>0</v>
      </c>
      <c r="AD12">
        <v>0</v>
      </c>
      <c r="AF12" t="s">
        <v>216</v>
      </c>
      <c r="AG12" t="s">
        <v>1902</v>
      </c>
      <c r="AY12" t="s">
        <v>1887</v>
      </c>
      <c r="AZ12" t="s">
        <v>1959</v>
      </c>
      <c r="BQ12" s="369"/>
      <c r="BR12" t="s">
        <v>1887</v>
      </c>
      <c r="BY12">
        <v>6</v>
      </c>
      <c r="CA12">
        <v>256</v>
      </c>
      <c r="CD12" t="s">
        <v>1911</v>
      </c>
      <c r="CE12">
        <v>1</v>
      </c>
      <c r="CF12">
        <v>0</v>
      </c>
      <c r="DN12" t="s">
        <v>100</v>
      </c>
      <c r="DO12" s="11" t="s">
        <v>100</v>
      </c>
      <c r="ED12" t="s">
        <v>2627</v>
      </c>
      <c r="EE12" t="s">
        <v>2721</v>
      </c>
      <c r="ER12" t="s">
        <v>3128</v>
      </c>
      <c r="ES12" t="s">
        <v>3134</v>
      </c>
    </row>
    <row r="13" spans="1:164">
      <c r="A13" t="str">
        <f>'Translate&amp;Prices&amp;Logo'!$B$10</f>
        <v>BRW brown - maximum profile length 2500 mm</v>
      </c>
      <c r="B13">
        <v>1</v>
      </c>
      <c r="C13" t="s">
        <v>1122</v>
      </c>
      <c r="D13">
        <v>0</v>
      </c>
      <c r="AC13">
        <v>0</v>
      </c>
      <c r="AD13">
        <v>0</v>
      </c>
      <c r="AF13" t="s">
        <v>215</v>
      </c>
      <c r="AG13" t="s">
        <v>1905</v>
      </c>
      <c r="AY13" t="s">
        <v>1887</v>
      </c>
      <c r="AZ13" t="s">
        <v>1960</v>
      </c>
      <c r="BQ13" s="369"/>
      <c r="BR13" t="s">
        <v>1899</v>
      </c>
      <c r="BY13" t="str">
        <f>'Translate&amp;Prices&amp;Logo'!$B$558</f>
        <v>Horizontal (delivery is 4 weeks)</v>
      </c>
      <c r="BZ13">
        <v>1</v>
      </c>
      <c r="CA13">
        <v>288</v>
      </c>
      <c r="CD13" t="str">
        <f>CONCATENATE('Translate&amp;Prices&amp;Logo'!B664,"_kraby")</f>
        <v>bottom_kraby</v>
      </c>
      <c r="CE13">
        <v>1</v>
      </c>
      <c r="CF13">
        <v>0</v>
      </c>
      <c r="DN13" t="s">
        <v>452</v>
      </c>
      <c r="DO13" s="11" t="s">
        <v>98</v>
      </c>
      <c r="ED13" t="s">
        <v>3544</v>
      </c>
      <c r="EE13" t="s">
        <v>3543</v>
      </c>
      <c r="ER13" t="s">
        <v>3129</v>
      </c>
      <c r="ES13" t="s">
        <v>3129</v>
      </c>
    </row>
    <row r="14" spans="1:164">
      <c r="A14" t="str">
        <f>'Translate&amp;Prices&amp;Logo'!$B$16</f>
        <v>BRW dark stainless steel - maximum profile length 2500 mm</v>
      </c>
      <c r="B14">
        <v>1</v>
      </c>
      <c r="C14" t="s">
        <v>1122</v>
      </c>
      <c r="D14">
        <v>0</v>
      </c>
      <c r="F14">
        <f>'Translate&amp;Prices&amp;Logo'!$B$77</f>
        <v>0</v>
      </c>
      <c r="J14" t="b">
        <f>TRUE</f>
        <v>1</v>
      </c>
      <c r="K14">
        <v>1</v>
      </c>
      <c r="AA14" t="s">
        <v>3052</v>
      </c>
      <c r="AB14" t="s">
        <v>1946</v>
      </c>
      <c r="AF14" t="s">
        <v>216</v>
      </c>
      <c r="AG14" t="s">
        <v>1905</v>
      </c>
      <c r="AY14" t="s">
        <v>1887</v>
      </c>
      <c r="AZ14" t="s">
        <v>1961</v>
      </c>
      <c r="BQ14" s="369"/>
      <c r="BY14" t="str">
        <f>'Translate&amp;Prices&amp;Logo'!$B$559</f>
        <v>Vertical (delivery is 4 weeks)</v>
      </c>
      <c r="BZ14">
        <v>2</v>
      </c>
      <c r="CA14">
        <v>320</v>
      </c>
      <c r="CD14" t="s">
        <v>1913</v>
      </c>
      <c r="CE14">
        <v>1</v>
      </c>
      <c r="CF14">
        <v>0</v>
      </c>
      <c r="DN14" t="s">
        <v>453</v>
      </c>
      <c r="DO14" s="11" t="s">
        <v>99</v>
      </c>
      <c r="ED14" t="s">
        <v>2628</v>
      </c>
      <c r="EE14" t="s">
        <v>2722</v>
      </c>
      <c r="ER14" t="s">
        <v>3130</v>
      </c>
      <c r="ES14" t="s">
        <v>3130</v>
      </c>
    </row>
    <row r="15" spans="1:164">
      <c r="A15" t="str">
        <f>'Translate&amp;Prices&amp;Logo'!$B$13</f>
        <v>BRW gold - maximum profile length 2500 mm</v>
      </c>
      <c r="B15">
        <v>1</v>
      </c>
      <c r="C15" t="s">
        <v>1122</v>
      </c>
      <c r="D15">
        <v>1</v>
      </c>
      <c r="F15">
        <f>'Translate&amp;Prices&amp;Logo'!$B$78</f>
        <v>0</v>
      </c>
      <c r="J15" t="b">
        <f>FALSE</f>
        <v>0</v>
      </c>
      <c r="K15">
        <v>2</v>
      </c>
      <c r="AA15" t="s">
        <v>1899</v>
      </c>
      <c r="AB15" t="s">
        <v>1897</v>
      </c>
      <c r="AC15">
        <v>1</v>
      </c>
      <c r="AD15">
        <v>0</v>
      </c>
      <c r="AF15" t="s">
        <v>215</v>
      </c>
      <c r="AG15" t="s">
        <v>1907</v>
      </c>
      <c r="AY15" t="s">
        <v>3473</v>
      </c>
      <c r="BQ15" s="370"/>
      <c r="BY15" t="str">
        <f>'Translate&amp;Prices&amp;Logo'!$B$560</f>
        <v>Horizontal and vertical (delivery is 4 weeks)</v>
      </c>
      <c r="BZ15">
        <v>3</v>
      </c>
      <c r="CA15">
        <v>384</v>
      </c>
      <c r="CD15" t="s">
        <v>1914</v>
      </c>
      <c r="CE15">
        <v>1</v>
      </c>
      <c r="CF15">
        <v>0</v>
      </c>
      <c r="DN15" t="s">
        <v>2101</v>
      </c>
      <c r="DO15" s="11" t="s">
        <v>100</v>
      </c>
      <c r="ED15" t="s">
        <v>2629</v>
      </c>
      <c r="EE15" t="s">
        <v>2723</v>
      </c>
      <c r="ER15" t="s">
        <v>3131</v>
      </c>
      <c r="ES15" t="s">
        <v>3131</v>
      </c>
      <c r="FD15" s="388"/>
    </row>
    <row r="16" spans="1:164">
      <c r="A16" t="str">
        <f>'Translate&amp;Prices&amp;Logo'!$B$55</f>
        <v>BRW arany csiszolt - maximum profile length 2500 mm</v>
      </c>
      <c r="B16">
        <v>1</v>
      </c>
      <c r="C16" t="s">
        <v>1122</v>
      </c>
      <c r="D16">
        <v>0</v>
      </c>
      <c r="F16">
        <f>'Translate&amp;Prices&amp;Logo'!$B$79</f>
        <v>0</v>
      </c>
      <c r="AA16" t="s">
        <v>1899</v>
      </c>
      <c r="AB16" t="s">
        <v>1900</v>
      </c>
      <c r="AC16">
        <v>1</v>
      </c>
      <c r="AD16">
        <v>1</v>
      </c>
      <c r="AF16" t="s">
        <v>216</v>
      </c>
      <c r="AG16" t="s">
        <v>1907</v>
      </c>
      <c r="AY16" t="s">
        <v>3473</v>
      </c>
      <c r="AZ16" t="s">
        <v>3474</v>
      </c>
      <c r="CA16">
        <v>448</v>
      </c>
      <c r="CD16" t="str">
        <f>'Translate&amp;Prices&amp;Logo'!B659</f>
        <v>StrongLift_upper</v>
      </c>
      <c r="CE16">
        <v>1</v>
      </c>
      <c r="CF16">
        <v>1</v>
      </c>
      <c r="DN16" t="s">
        <v>528</v>
      </c>
      <c r="DO16" s="11" t="s">
        <v>98</v>
      </c>
      <c r="ED16" t="s">
        <v>2630</v>
      </c>
      <c r="EE16" t="s">
        <v>2724</v>
      </c>
      <c r="ER16" t="s">
        <v>3483</v>
      </c>
      <c r="ES16" t="s">
        <v>3483</v>
      </c>
      <c r="FD16" s="388"/>
    </row>
    <row r="17" spans="1:160">
      <c r="A17" t="str">
        <f>'Translate&amp;Prices&amp;Logo'!$B$17</f>
        <v>Corleone (elox.) - maximum profile length 1500 mm</v>
      </c>
      <c r="B17">
        <v>2</v>
      </c>
      <c r="C17" t="s">
        <v>1122</v>
      </c>
      <c r="D17">
        <v>0</v>
      </c>
      <c r="E17">
        <v>3</v>
      </c>
      <c r="F17">
        <f>'Translate&amp;Prices&amp;Logo'!$B$82</f>
        <v>0</v>
      </c>
      <c r="AA17" t="s">
        <v>1899</v>
      </c>
      <c r="AB17" t="str">
        <f>IF(Ram_3!AU7=2,"FREEspace"," ")</f>
        <v>FREEspace</v>
      </c>
      <c r="AC17">
        <v>0</v>
      </c>
      <c r="AD17">
        <v>0</v>
      </c>
      <c r="AF17" t="s">
        <v>215</v>
      </c>
      <c r="AG17" t="s">
        <v>1908</v>
      </c>
      <c r="AY17" t="s">
        <v>3473</v>
      </c>
      <c r="AZ17" t="s">
        <v>3475</v>
      </c>
      <c r="CA17">
        <v>480</v>
      </c>
      <c r="CD17" t="str">
        <f>'Translate&amp;Prices&amp;Logo'!B660</f>
        <v>StrongLift_bottom</v>
      </c>
      <c r="CE17">
        <v>1</v>
      </c>
      <c r="CF17">
        <v>1</v>
      </c>
      <c r="DN17" t="s">
        <v>2210</v>
      </c>
      <c r="DO17" s="11" t="s">
        <v>99</v>
      </c>
      <c r="ED17" t="s">
        <v>2631</v>
      </c>
      <c r="EE17" t="s">
        <v>2725</v>
      </c>
      <c r="ER17" t="s">
        <v>3485</v>
      </c>
      <c r="ES17" t="s">
        <v>3485</v>
      </c>
      <c r="FD17" s="388"/>
    </row>
    <row r="18" spans="1:160">
      <c r="A18" t="str">
        <f>'Translate&amp;Prices&amp;Logo'!$B$18</f>
        <v>Corleone black matt - maximum profile length 1500 mm</v>
      </c>
      <c r="B18">
        <v>2</v>
      </c>
      <c r="C18" t="s">
        <v>1122</v>
      </c>
      <c r="D18">
        <v>0</v>
      </c>
      <c r="E18">
        <v>3</v>
      </c>
      <c r="F18" t="str">
        <f>'Translate&amp;Prices&amp;Logo'!$B$80</f>
        <v>Rocca elox (Left and Right) + Varna elox (Top and Bottom)</v>
      </c>
      <c r="AA18" t="s">
        <v>1899</v>
      </c>
      <c r="AB18" t="s">
        <v>1903</v>
      </c>
      <c r="AC18">
        <v>0</v>
      </c>
      <c r="AD18">
        <v>0</v>
      </c>
      <c r="AF18" t="s">
        <v>216</v>
      </c>
      <c r="AG18" t="s">
        <v>1908</v>
      </c>
      <c r="AY18" t="s">
        <v>3473</v>
      </c>
      <c r="AZ18" t="s">
        <v>3476</v>
      </c>
      <c r="BY18">
        <v>1</v>
      </c>
      <c r="CA18">
        <v>576</v>
      </c>
      <c r="CD18" t="s">
        <v>1918</v>
      </c>
      <c r="CE18">
        <v>1</v>
      </c>
      <c r="CF18">
        <v>0</v>
      </c>
      <c r="DN18" t="s">
        <v>2211</v>
      </c>
      <c r="DO18" s="11" t="s">
        <v>100</v>
      </c>
      <c r="ED18" t="s">
        <v>2632</v>
      </c>
      <c r="EE18" t="s">
        <v>2726</v>
      </c>
      <c r="ER18" t="s">
        <v>3487</v>
      </c>
      <c r="ES18" t="s">
        <v>3487</v>
      </c>
    </row>
    <row r="19" spans="1:160">
      <c r="A19" t="str">
        <f>'Translate&amp;Prices&amp;Logo'!$B$59</f>
        <v>ASTI black matt - maximum profile length 2150 mm</v>
      </c>
      <c r="B19">
        <v>1</v>
      </c>
      <c r="C19" t="s">
        <v>1931</v>
      </c>
      <c r="D19">
        <v>0</v>
      </c>
      <c r="F19" t="str">
        <f>'Translate&amp;Prices&amp;Logo'!$B$81</f>
        <v>Rocca black (Left and right) + Varna black (Top and bottom)</v>
      </c>
      <c r="AA19" t="s">
        <v>1899</v>
      </c>
      <c r="AB19" t="s">
        <v>1904</v>
      </c>
      <c r="AC19">
        <v>0</v>
      </c>
      <c r="AD19">
        <v>0</v>
      </c>
      <c r="AF19" t="s">
        <v>215</v>
      </c>
      <c r="AG19" t="s">
        <v>1910</v>
      </c>
      <c r="AY19" t="s">
        <v>3473</v>
      </c>
      <c r="AZ19" t="s">
        <v>3477</v>
      </c>
      <c r="BY19">
        <v>2</v>
      </c>
      <c r="CA19">
        <v>672</v>
      </c>
      <c r="DN19" t="s">
        <v>2563</v>
      </c>
      <c r="DO19" t="s">
        <v>98</v>
      </c>
      <c r="ED19" t="s">
        <v>2633</v>
      </c>
      <c r="EE19" t="s">
        <v>2727</v>
      </c>
      <c r="ER19" t="s">
        <v>3489</v>
      </c>
      <c r="ES19" t="s">
        <v>3489</v>
      </c>
      <c r="FD19" s="388"/>
    </row>
    <row r="20" spans="1:160">
      <c r="A20" t="str">
        <f>'Translate&amp;Prices&amp;Logo'!$B$60</f>
        <v>ASTI anthracite RAL 7021 matt - maximum profile length 2500 mm</v>
      </c>
      <c r="B20">
        <v>1</v>
      </c>
      <c r="C20" t="s">
        <v>1931</v>
      </c>
      <c r="D20">
        <v>0</v>
      </c>
      <c r="AA20" t="s">
        <v>1899</v>
      </c>
      <c r="AB20" t="s">
        <v>1906</v>
      </c>
      <c r="AC20">
        <v>0</v>
      </c>
      <c r="AD20">
        <v>0</v>
      </c>
      <c r="AF20" t="s">
        <v>216</v>
      </c>
      <c r="AG20" t="s">
        <v>1910</v>
      </c>
      <c r="AY20" t="s">
        <v>3473</v>
      </c>
      <c r="AZ20" t="s">
        <v>3478</v>
      </c>
      <c r="BY20">
        <v>3</v>
      </c>
      <c r="CA20">
        <v>736</v>
      </c>
      <c r="DN20" t="s">
        <v>2420</v>
      </c>
      <c r="DO20" t="s">
        <v>99</v>
      </c>
      <c r="ED20" t="s">
        <v>2634</v>
      </c>
      <c r="EE20" t="s">
        <v>2728</v>
      </c>
      <c r="ER20" t="s">
        <v>3491</v>
      </c>
      <c r="ES20" t="s">
        <v>3491</v>
      </c>
      <c r="FD20" s="388"/>
    </row>
    <row r="21" spans="1:160">
      <c r="A21" t="str">
        <f>'Translate&amp;Prices&amp;Logo'!$B$19</f>
        <v>Imola (elox.) - maximum profile length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3493</v>
      </c>
      <c r="ES21" t="s">
        <v>3493</v>
      </c>
    </row>
    <row r="22" spans="1:160">
      <c r="A22" t="str">
        <f>'Translate&amp;Prices&amp;Logo'!$B$20</f>
        <v>Imola black matt - maximum profile length 2500 mm</v>
      </c>
      <c r="B22">
        <v>2</v>
      </c>
      <c r="C22" t="s">
        <v>1931</v>
      </c>
      <c r="D22">
        <v>0</v>
      </c>
      <c r="AA22" t="s">
        <v>1899</v>
      </c>
      <c r="AB22" t="s">
        <v>2058</v>
      </c>
      <c r="AC22">
        <v>1</v>
      </c>
      <c r="AD22">
        <v>0</v>
      </c>
      <c r="AF22" t="s">
        <v>216</v>
      </c>
      <c r="AG22" t="s">
        <v>1911</v>
      </c>
      <c r="BY22">
        <v>5</v>
      </c>
      <c r="CA22">
        <v>832</v>
      </c>
      <c r="DN22" s="487" t="s">
        <v>4952</v>
      </c>
      <c r="DO22" s="11" t="s">
        <v>98</v>
      </c>
      <c r="ED22" t="s">
        <v>2636</v>
      </c>
      <c r="EE22" t="s">
        <v>2730</v>
      </c>
      <c r="ER22" t="s">
        <v>3132</v>
      </c>
      <c r="ES22" t="s">
        <v>3132</v>
      </c>
    </row>
    <row r="23" spans="1:160">
      <c r="A23" t="str">
        <f>'Translate&amp;Prices&amp;Logo'!$B$21</f>
        <v>Imola white matt RAL 9003 - maximum profile length 2500 mm</v>
      </c>
      <c r="B23">
        <v>2</v>
      </c>
      <c r="C23" t="s">
        <v>1931</v>
      </c>
      <c r="D23">
        <v>0</v>
      </c>
      <c r="AA23" t="s">
        <v>1899</v>
      </c>
      <c r="AB23" t="s">
        <v>1907</v>
      </c>
      <c r="AC23">
        <v>1</v>
      </c>
      <c r="AD23">
        <v>0</v>
      </c>
      <c r="AF23" t="s">
        <v>215</v>
      </c>
      <c r="AG23" t="s">
        <v>1912</v>
      </c>
      <c r="BY23">
        <v>6</v>
      </c>
      <c r="CA23">
        <v>960</v>
      </c>
      <c r="DN23" s="487" t="s">
        <v>4953</v>
      </c>
      <c r="DO23" s="11" t="s">
        <v>99</v>
      </c>
      <c r="ED23" t="s">
        <v>2637</v>
      </c>
      <c r="EE23" t="s">
        <v>2731</v>
      </c>
      <c r="ER23" t="s">
        <v>3133</v>
      </c>
      <c r="ES23" t="s">
        <v>3133</v>
      </c>
    </row>
    <row r="24" spans="1:160">
      <c r="A24" t="str">
        <f>'Translate&amp;Prices&amp;Logo'!$B$45</f>
        <v>Imola gold - maximum profile length 2150 mm</v>
      </c>
      <c r="B24">
        <v>2</v>
      </c>
      <c r="C24" t="s">
        <v>1931</v>
      </c>
      <c r="D24">
        <v>0</v>
      </c>
      <c r="AF24" t="s">
        <v>216</v>
      </c>
      <c r="AG24" t="s">
        <v>1912</v>
      </c>
      <c r="BY24">
        <v>7</v>
      </c>
      <c r="DN24" s="487" t="s">
        <v>4954</v>
      </c>
      <c r="DO24" s="11" t="s">
        <v>100</v>
      </c>
      <c r="ED24" t="s">
        <v>2638</v>
      </c>
      <c r="EE24" t="s">
        <v>2732</v>
      </c>
      <c r="ER24" t="s">
        <v>3134</v>
      </c>
      <c r="ES24" t="s">
        <v>3134</v>
      </c>
    </row>
    <row r="25" spans="1:160">
      <c r="A25" t="str">
        <f>'Translate&amp;Prices&amp;Logo'!$B$22</f>
        <v>Modena (elox.) - maximum profile length 2500 mm</v>
      </c>
      <c r="B25">
        <v>2</v>
      </c>
      <c r="C25" t="s">
        <v>1122</v>
      </c>
      <c r="D25">
        <v>0</v>
      </c>
      <c r="AF25" t="s">
        <v>215</v>
      </c>
      <c r="AG25" t="s">
        <v>1913</v>
      </c>
      <c r="BY25">
        <v>8</v>
      </c>
      <c r="ED25" t="s">
        <v>2639</v>
      </c>
      <c r="EE25" t="s">
        <v>2733</v>
      </c>
      <c r="ER25" t="s">
        <v>3139</v>
      </c>
      <c r="ES25" t="s">
        <v>3139</v>
      </c>
    </row>
    <row r="26" spans="1:160">
      <c r="A26" t="str">
        <f>'Translate&amp;Prices&amp;Logo'!$B$23</f>
        <v>Modena black matt - maximum profile length 2500 mm</v>
      </c>
      <c r="B26">
        <v>2</v>
      </c>
      <c r="C26" t="s">
        <v>1122</v>
      </c>
      <c r="D26">
        <v>0</v>
      </c>
      <c r="AF26" t="s">
        <v>216</v>
      </c>
      <c r="AG26" t="s">
        <v>1913</v>
      </c>
      <c r="BY26">
        <v>9</v>
      </c>
      <c r="ED26" t="s">
        <v>2640</v>
      </c>
      <c r="EE26" t="s">
        <v>2734</v>
      </c>
      <c r="ER26" t="s">
        <v>3140</v>
      </c>
      <c r="ES26" t="s">
        <v>3140</v>
      </c>
    </row>
    <row r="27" spans="1:160">
      <c r="A27" t="str">
        <f>'Translate&amp;Prices&amp;Logo'!$B$25</f>
        <v>black black brushed - maximum profile length 2500 mm</v>
      </c>
      <c r="B27">
        <v>2</v>
      </c>
      <c r="C27" t="s">
        <v>1122</v>
      </c>
      <c r="D27">
        <v>0</v>
      </c>
      <c r="AF27" t="s">
        <v>215</v>
      </c>
      <c r="AG27" t="s">
        <v>1914</v>
      </c>
      <c r="BY27">
        <v>10</v>
      </c>
      <c r="ED27" t="s">
        <v>2641</v>
      </c>
      <c r="EE27" t="s">
        <v>2735</v>
      </c>
      <c r="ER27" t="s">
        <v>3141</v>
      </c>
      <c r="ES27" t="s">
        <v>3141</v>
      </c>
    </row>
    <row r="28" spans="1:160">
      <c r="A28" t="str">
        <f>'Translate&amp;Prices&amp;Logo'!$B$26</f>
        <v>Modena dark stainless steel brushed - maximum profile length 2500 mm</v>
      </c>
      <c r="B28">
        <v>2</v>
      </c>
      <c r="C28" t="s">
        <v>1122</v>
      </c>
      <c r="D28">
        <v>0</v>
      </c>
      <c r="AA28" t="s">
        <v>3053</v>
      </c>
      <c r="AB28" t="s">
        <v>1945</v>
      </c>
      <c r="AF28" t="s">
        <v>216</v>
      </c>
      <c r="AG28" t="s">
        <v>1914</v>
      </c>
      <c r="ED28" t="s">
        <v>2642</v>
      </c>
      <c r="EE28" t="s">
        <v>2736</v>
      </c>
      <c r="ER28" t="s">
        <v>3494</v>
      </c>
      <c r="ES28" t="s">
        <v>3494</v>
      </c>
    </row>
    <row r="29" spans="1:160">
      <c r="A29">
        <f>'Translate&amp;Prices&amp;Logo'!$B$27</f>
        <v>0</v>
      </c>
      <c r="B29">
        <v>2</v>
      </c>
      <c r="C29" t="s">
        <v>1122</v>
      </c>
      <c r="D29">
        <v>0</v>
      </c>
      <c r="AA29" t="s">
        <v>1909</v>
      </c>
      <c r="AB29" t="s">
        <v>1908</v>
      </c>
      <c r="AC29">
        <v>1</v>
      </c>
      <c r="AD29">
        <v>0</v>
      </c>
      <c r="AF29" t="s">
        <v>215</v>
      </c>
      <c r="AG29" t="s">
        <v>1915</v>
      </c>
      <c r="ED29" t="s">
        <v>2643</v>
      </c>
      <c r="EE29" t="s">
        <v>2737</v>
      </c>
      <c r="ER29" t="s">
        <v>3495</v>
      </c>
      <c r="ES29" t="s">
        <v>3495</v>
      </c>
    </row>
    <row r="30" spans="1:160">
      <c r="A30">
        <f>'Translate&amp;Prices&amp;Logo'!$B$28</f>
        <v>0</v>
      </c>
      <c r="B30">
        <v>2</v>
      </c>
      <c r="C30" t="s">
        <v>1122</v>
      </c>
      <c r="D30">
        <v>0</v>
      </c>
      <c r="AA30" t="s">
        <v>1909</v>
      </c>
      <c r="AB30" t="str">
        <f>CONCATENATE('Translate&amp;Prices&amp;Logo'!B664,"_K12")</f>
        <v>bottom_K12</v>
      </c>
      <c r="AC30">
        <v>1</v>
      </c>
      <c r="AD30">
        <v>0</v>
      </c>
      <c r="AF30" t="s">
        <v>216</v>
      </c>
      <c r="AG30" t="s">
        <v>1915</v>
      </c>
      <c r="ED30" t="s">
        <v>2644</v>
      </c>
      <c r="EE30" t="s">
        <v>2738</v>
      </c>
      <c r="ER30" t="s">
        <v>3496</v>
      </c>
      <c r="ES30" t="s">
        <v>3496</v>
      </c>
    </row>
    <row r="31" spans="1:160">
      <c r="A31" t="str">
        <f>'Translate&amp;Prices&amp;Logo'!$B$29</f>
        <v>Pisa (elox.) - maximum profile length 2500 mm</v>
      </c>
      <c r="B31">
        <v>2</v>
      </c>
      <c r="C31" t="s">
        <v>1931</v>
      </c>
      <c r="D31">
        <v>0</v>
      </c>
      <c r="AA31" t="s">
        <v>1909</v>
      </c>
      <c r="AB31" t="s">
        <v>1911</v>
      </c>
      <c r="AC31">
        <v>1</v>
      </c>
      <c r="AD31">
        <v>0</v>
      </c>
      <c r="AF31" t="s">
        <v>215</v>
      </c>
      <c r="AG31" t="s">
        <v>1916</v>
      </c>
      <c r="ED31" t="s">
        <v>2645</v>
      </c>
      <c r="EE31" t="s">
        <v>2739</v>
      </c>
      <c r="ER31" t="s">
        <v>3497</v>
      </c>
      <c r="ES31" t="s">
        <v>3497</v>
      </c>
    </row>
    <row r="32" spans="1:160">
      <c r="A32" t="str">
        <f>'Translate&amp;Prices&amp;Logo'!$B$53</f>
        <v>Pisa white gloss RAL 9003 - maximum profile length 2500 mm</v>
      </c>
      <c r="B32">
        <v>2</v>
      </c>
      <c r="C32" t="s">
        <v>1931</v>
      </c>
      <c r="D32">
        <v>0</v>
      </c>
      <c r="AA32" t="s">
        <v>1909</v>
      </c>
      <c r="AB32" t="str">
        <f>CONCATENATE('Translate&amp;Prices&amp;Logo'!B664,"_kraby")</f>
        <v>bottom_kraby</v>
      </c>
      <c r="AC32">
        <v>1</v>
      </c>
      <c r="AD32">
        <v>0</v>
      </c>
      <c r="AF32" t="s">
        <v>216</v>
      </c>
      <c r="AG32" t="s">
        <v>1916</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2646</v>
      </c>
      <c r="EE32" t="s">
        <v>2740</v>
      </c>
      <c r="ER32" t="s">
        <v>3498</v>
      </c>
      <c r="ES32" t="s">
        <v>3498</v>
      </c>
    </row>
    <row r="33" spans="1:149">
      <c r="A33" t="str">
        <f>'Translate&amp;Prices&amp;Logo'!$B$30</f>
        <v>Pisa black matt - maximum profile length 2500 mm</v>
      </c>
      <c r="B33">
        <v>2</v>
      </c>
      <c r="C33" t="s">
        <v>1931</v>
      </c>
      <c r="D33">
        <v>0</v>
      </c>
      <c r="AA33" t="s">
        <v>1909</v>
      </c>
      <c r="AB33" t="s">
        <v>1913</v>
      </c>
      <c r="AC33">
        <v>1</v>
      </c>
      <c r="AD33">
        <v>0</v>
      </c>
      <c r="AF33" t="s">
        <v>215</v>
      </c>
      <c r="AG33" t="s">
        <v>1918</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2647</v>
      </c>
      <c r="EE33" t="s">
        <v>2741</v>
      </c>
      <c r="ER33" t="s">
        <v>3499</v>
      </c>
      <c r="ES33" t="s">
        <v>3499</v>
      </c>
    </row>
    <row r="34" spans="1:149">
      <c r="A34" t="str">
        <f>'Translate&amp;Prices&amp;Logo'!$B$58</f>
        <v>Pisa gold - maximum profile length 2150 mm</v>
      </c>
      <c r="B34">
        <v>2</v>
      </c>
      <c r="C34" t="s">
        <v>1931</v>
      </c>
      <c r="D34">
        <v>0</v>
      </c>
      <c r="AB34" t="s">
        <v>1914</v>
      </c>
      <c r="AC34">
        <v>1</v>
      </c>
      <c r="AD34">
        <v>0</v>
      </c>
      <c r="AF34" t="s">
        <v>216</v>
      </c>
      <c r="AG34" t="s">
        <v>1918</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2648</v>
      </c>
      <c r="EE34" t="s">
        <v>2742</v>
      </c>
      <c r="ER34" t="s">
        <v>3142</v>
      </c>
      <c r="ES34" t="s">
        <v>3142</v>
      </c>
    </row>
    <row r="35" spans="1:149">
      <c r="A35" t="str">
        <f>'Translate&amp;Prices&amp;Logo'!$B$50</f>
        <v>Rocca (elox.) - maximum profile length 2150 mm</v>
      </c>
      <c r="B35">
        <v>1</v>
      </c>
      <c r="C35" t="s">
        <v>1122</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2649</v>
      </c>
      <c r="EE35" t="s">
        <v>2743</v>
      </c>
      <c r="ER35" t="s">
        <v>3143</v>
      </c>
      <c r="ES35" t="s">
        <v>3143</v>
      </c>
    </row>
    <row r="36" spans="1:149">
      <c r="A36" t="str">
        <f>'Translate&amp;Prices&amp;Logo'!$B$42</f>
        <v>Rocca black matt - maximum profile length 2150 mm</v>
      </c>
      <c r="B36">
        <v>1</v>
      </c>
      <c r="C36" t="s">
        <v>1122</v>
      </c>
      <c r="D36">
        <v>0</v>
      </c>
      <c r="ED36" t="s">
        <v>2588</v>
      </c>
      <c r="EE36" t="s">
        <v>2744</v>
      </c>
      <c r="ER36" t="s">
        <v>3144</v>
      </c>
      <c r="ES36" t="s">
        <v>3144</v>
      </c>
    </row>
    <row r="37" spans="1:149">
      <c r="A37">
        <f>'Translate&amp;Prices&amp;Logo'!$B$32</f>
        <v>0</v>
      </c>
      <c r="B37">
        <v>2</v>
      </c>
      <c r="C37" t="s">
        <v>1122</v>
      </c>
      <c r="D37">
        <v>0</v>
      </c>
      <c r="BY37" t="s">
        <v>2298</v>
      </c>
      <c r="ED37" t="s">
        <v>2589</v>
      </c>
      <c r="EE37" t="s">
        <v>2745</v>
      </c>
      <c r="ER37" t="s">
        <v>3189</v>
      </c>
      <c r="ES37" t="s">
        <v>3183</v>
      </c>
    </row>
    <row r="38" spans="1:149">
      <c r="A38">
        <f>'Translate&amp;Prices&amp;Logo'!$B$33</f>
        <v>0</v>
      </c>
      <c r="B38">
        <v>2</v>
      </c>
      <c r="C38" t="s">
        <v>1122</v>
      </c>
      <c r="D38">
        <v>0</v>
      </c>
      <c r="ED38" t="s">
        <v>2590</v>
      </c>
      <c r="EE38" t="s">
        <v>2746</v>
      </c>
      <c r="ER38" t="s">
        <v>3190</v>
      </c>
      <c r="ES38" t="s">
        <v>3184</v>
      </c>
    </row>
    <row r="39" spans="1:149">
      <c r="A39" t="str">
        <f>'Translate&amp;Prices&amp;Logo'!$B$34</f>
        <v>Verona (elox.) - maximum profile length 2500 mm</v>
      </c>
      <c r="B39">
        <v>1</v>
      </c>
      <c r="C39" t="s">
        <v>1122</v>
      </c>
      <c r="D39">
        <v>0</v>
      </c>
      <c r="AA39" t="s">
        <v>3537</v>
      </c>
      <c r="AB39" t="s">
        <v>3535</v>
      </c>
      <c r="ED39" t="s">
        <v>2591</v>
      </c>
      <c r="EE39" t="s">
        <v>2747</v>
      </c>
      <c r="ER39" t="s">
        <v>3191</v>
      </c>
      <c r="ES39" t="s">
        <v>3185</v>
      </c>
    </row>
    <row r="40" spans="1:149">
      <c r="A40" t="str">
        <f>'Translate&amp;Prices&amp;Logo'!$B$35</f>
        <v>Verona brushed aluminium - maximum profile length 2500 mm</v>
      </c>
      <c r="B40">
        <v>1</v>
      </c>
      <c r="C40" t="s">
        <v>1122</v>
      </c>
      <c r="D40">
        <v>0</v>
      </c>
      <c r="AA40" t="s">
        <v>3537</v>
      </c>
      <c r="AB40" t="str">
        <f>'Translate&amp;Prices&amp;Logo'!B659</f>
        <v>StrongLift_upper</v>
      </c>
      <c r="AC40">
        <v>1</v>
      </c>
      <c r="AD40">
        <v>0</v>
      </c>
      <c r="ED40" t="s">
        <v>2592</v>
      </c>
      <c r="EE40" t="s">
        <v>2748</v>
      </c>
      <c r="ER40" t="s">
        <v>3192</v>
      </c>
      <c r="ES40" t="s">
        <v>3186</v>
      </c>
    </row>
    <row r="41" spans="1:149">
      <c r="A41" t="str">
        <f>'Translate&amp;Prices&amp;Logo'!$B$37</f>
        <v>Verona black matt - maximum profile length 2500 mm</v>
      </c>
      <c r="B41">
        <v>1</v>
      </c>
      <c r="C41" t="s">
        <v>1122</v>
      </c>
      <c r="D41">
        <v>0</v>
      </c>
      <c r="AB41" t="str">
        <f>'Translate&amp;Prices&amp;Logo'!B660</f>
        <v>StrongLift_bottom</v>
      </c>
      <c r="AC41">
        <v>1</v>
      </c>
      <c r="AD41">
        <v>0</v>
      </c>
      <c r="ED41" t="s">
        <v>2593</v>
      </c>
      <c r="EE41" t="s">
        <v>2749</v>
      </c>
      <c r="ER41" t="s">
        <v>3193</v>
      </c>
      <c r="ES41" t="s">
        <v>3187</v>
      </c>
    </row>
    <row r="42" spans="1:149">
      <c r="A42" t="str">
        <f>'Translate&amp;Prices&amp;Logo'!$B$36</f>
        <v>Verona black gloss - maximum profile length 2500 mm</v>
      </c>
      <c r="B42">
        <v>1</v>
      </c>
      <c r="C42" t="s">
        <v>1122</v>
      </c>
      <c r="D42">
        <v>0</v>
      </c>
      <c r="AA42" t="s">
        <v>3054</v>
      </c>
      <c r="AB42" t="s">
        <v>1944</v>
      </c>
      <c r="ED42" t="s">
        <v>2594</v>
      </c>
      <c r="EE42" t="s">
        <v>2750</v>
      </c>
      <c r="ER42" t="s">
        <v>3194</v>
      </c>
      <c r="ES42" t="s">
        <v>3188</v>
      </c>
    </row>
    <row r="43" spans="1:149">
      <c r="A43" t="str">
        <f>'Translate&amp;Prices&amp;Logo'!$B$38</f>
        <v>Verona brown - maximum profile length 2500 mm</v>
      </c>
      <c r="B43">
        <v>1</v>
      </c>
      <c r="C43" t="s">
        <v>1122</v>
      </c>
      <c r="D43">
        <v>0</v>
      </c>
      <c r="AA43" t="s">
        <v>1917</v>
      </c>
      <c r="AB43" t="s">
        <v>2064</v>
      </c>
      <c r="AC43">
        <v>0</v>
      </c>
      <c r="AD43">
        <v>0</v>
      </c>
      <c r="ED43" t="s">
        <v>2595</v>
      </c>
      <c r="EE43" t="s">
        <v>2751</v>
      </c>
      <c r="ER43" t="s">
        <v>3508</v>
      </c>
      <c r="ES43" t="s">
        <v>3500</v>
      </c>
    </row>
    <row r="44" spans="1:149">
      <c r="A44" t="str">
        <f>'Translate&amp;Prices&amp;Logo'!$B$39</f>
        <v>Verona champagne - maximum profile length 2500 mm</v>
      </c>
      <c r="B44">
        <v>1</v>
      </c>
      <c r="C44" t="s">
        <v>1122</v>
      </c>
      <c r="D44">
        <v>0</v>
      </c>
      <c r="AA44" t="s">
        <v>1917</v>
      </c>
      <c r="AB44" t="s">
        <v>1918</v>
      </c>
      <c r="AC44">
        <v>1</v>
      </c>
      <c r="AD44">
        <v>0</v>
      </c>
      <c r="ED44" t="s">
        <v>2596</v>
      </c>
      <c r="EE44" t="s">
        <v>2752</v>
      </c>
      <c r="ER44" t="s">
        <v>3509</v>
      </c>
      <c r="ES44" t="s">
        <v>3501</v>
      </c>
    </row>
    <row r="45" spans="1:149">
      <c r="A45" t="str">
        <f>'Translate&amp;Prices&amp;Logo'!$B$40</f>
        <v>Verona dark stainless steel brushed - maximum profile length 2500 mm</v>
      </c>
      <c r="B45">
        <v>1</v>
      </c>
      <c r="C45" t="s">
        <v>1122</v>
      </c>
      <c r="D45">
        <v>0</v>
      </c>
      <c r="AB45" t="s">
        <v>2065</v>
      </c>
      <c r="AC45">
        <v>0</v>
      </c>
      <c r="AD45">
        <v>0</v>
      </c>
      <c r="ED45" t="s">
        <v>2597</v>
      </c>
      <c r="EE45" t="s">
        <v>2753</v>
      </c>
      <c r="ER45" t="s">
        <v>3213</v>
      </c>
      <c r="ES45" t="s">
        <v>3207</v>
      </c>
    </row>
    <row r="46" spans="1:149">
      <c r="A46" t="str">
        <f>'Translate&amp;Prices&amp;Logo'!$B$41</f>
        <v>Verona light stainless steel (Acier grata) - maximum profile length 2500 mm</v>
      </c>
      <c r="B46">
        <v>1</v>
      </c>
      <c r="C46" t="s">
        <v>1122</v>
      </c>
      <c r="D46">
        <v>0</v>
      </c>
      <c r="ED46" t="s">
        <v>2598</v>
      </c>
      <c r="EE46" t="s">
        <v>2754</v>
      </c>
      <c r="ER46" t="s">
        <v>3214</v>
      </c>
      <c r="ES46" t="s">
        <v>3208</v>
      </c>
    </row>
    <row r="47" spans="1:149">
      <c r="A47" t="str">
        <f>'Translate&amp;Prices&amp;Logo'!$B$24</f>
        <v>Verona gold - maximum profile length 2150 mm</v>
      </c>
      <c r="B47">
        <v>1</v>
      </c>
      <c r="C47" t="s">
        <v>1122</v>
      </c>
      <c r="D47">
        <v>0</v>
      </c>
      <c r="ED47" t="s">
        <v>2599</v>
      </c>
      <c r="EE47" t="s">
        <v>2755</v>
      </c>
      <c r="ER47" t="s">
        <v>3215</v>
      </c>
      <c r="ES47" t="s">
        <v>3209</v>
      </c>
    </row>
    <row r="48" spans="1:149">
      <c r="A48" t="str">
        <f>'Translate&amp;Prices&amp;Logo'!$B$56</f>
        <v>Verona gold brushed - maximum profile length 2150 mm</v>
      </c>
      <c r="B48">
        <v>1</v>
      </c>
      <c r="C48" t="s">
        <v>1122</v>
      </c>
      <c r="D48">
        <v>0</v>
      </c>
      <c r="ED48" t="s">
        <v>2600</v>
      </c>
      <c r="EE48" t="s">
        <v>2756</v>
      </c>
      <c r="ER48" t="s">
        <v>3216</v>
      </c>
      <c r="ES48" t="s">
        <v>3210</v>
      </c>
    </row>
    <row r="49" spans="1:149">
      <c r="A49" t="str">
        <f>'Translate&amp;Prices&amp;Logo'!$B$43</f>
        <v>Vivaro (elox.) - maximum profile length 2500 mm</v>
      </c>
      <c r="B49">
        <v>2</v>
      </c>
      <c r="C49" t="s">
        <v>1122</v>
      </c>
      <c r="D49">
        <v>1</v>
      </c>
      <c r="AA49" t="s">
        <v>3055</v>
      </c>
      <c r="AB49" t="s">
        <v>3057</v>
      </c>
      <c r="ED49" t="s">
        <v>2601</v>
      </c>
      <c r="EE49" t="s">
        <v>2757</v>
      </c>
      <c r="ER49" t="s">
        <v>3217</v>
      </c>
      <c r="ES49" t="s">
        <v>3211</v>
      </c>
    </row>
    <row r="50" spans="1:149">
      <c r="A50" t="str">
        <f>'Translate&amp;Prices&amp;Logo'!$B$44</f>
        <v>Vivaro black matt - maximum profile length 2500 mm</v>
      </c>
      <c r="B50">
        <v>2</v>
      </c>
      <c r="C50" t="s">
        <v>1122</v>
      </c>
      <c r="D50">
        <v>1</v>
      </c>
      <c r="AB50" t="s">
        <v>3408</v>
      </c>
      <c r="AC50">
        <v>0</v>
      </c>
      <c r="AD50">
        <v>0</v>
      </c>
      <c r="ED50" t="s">
        <v>2602</v>
      </c>
      <c r="EE50" t="s">
        <v>2758</v>
      </c>
      <c r="ER50" t="s">
        <v>3218</v>
      </c>
      <c r="ES50" t="s">
        <v>3212</v>
      </c>
    </row>
    <row r="51" spans="1:149">
      <c r="A51" t="str">
        <f>'Translate&amp;Prices&amp;Logo'!$B$46</f>
        <v>Vivaro dark stainless steel - maximum profile length 2500 mm</v>
      </c>
      <c r="B51">
        <v>2</v>
      </c>
      <c r="C51" t="s">
        <v>1122</v>
      </c>
      <c r="D51">
        <v>0</v>
      </c>
      <c r="AB51" t="s">
        <v>3410</v>
      </c>
      <c r="AC51">
        <v>0</v>
      </c>
      <c r="AD51">
        <v>0</v>
      </c>
      <c r="ED51" t="s">
        <v>2603</v>
      </c>
      <c r="EE51" t="s">
        <v>2759</v>
      </c>
      <c r="ER51" t="s">
        <v>3510</v>
      </c>
      <c r="ES51" t="s">
        <v>3502</v>
      </c>
    </row>
    <row r="52" spans="1:149">
      <c r="A52" t="str">
        <f>'Translate&amp;Prices&amp;Logo'!$B$47</f>
        <v>Vivaro white matt RAL 9003 - maximum profile length 2500 mm</v>
      </c>
      <c r="B52">
        <v>2</v>
      </c>
      <c r="C52" t="s">
        <v>1122</v>
      </c>
      <c r="D52">
        <v>0</v>
      </c>
      <c r="AB52" t="s">
        <v>3405</v>
      </c>
      <c r="AC52">
        <v>0</v>
      </c>
      <c r="AD52">
        <v>0</v>
      </c>
      <c r="ED52" t="s">
        <v>2604</v>
      </c>
      <c r="EE52" t="s">
        <v>2760</v>
      </c>
      <c r="ER52" t="s">
        <v>3511</v>
      </c>
      <c r="ES52" t="s">
        <v>3503</v>
      </c>
    </row>
    <row r="53" spans="1:149">
      <c r="A53" t="str">
        <f>'Translate&amp;Prices&amp;Logo'!$B$48</f>
        <v>Vivaro white gloss RAL 9003 - maximum profile length 2500 mm</v>
      </c>
      <c r="B53">
        <v>2</v>
      </c>
      <c r="C53" t="s">
        <v>1122</v>
      </c>
      <c r="D53">
        <v>0</v>
      </c>
      <c r="AB53" t="s">
        <v>3406</v>
      </c>
      <c r="AC53">
        <v>0</v>
      </c>
      <c r="AD53">
        <v>0</v>
      </c>
      <c r="ED53" t="s">
        <v>2605</v>
      </c>
      <c r="EE53" t="s">
        <v>2761</v>
      </c>
      <c r="ER53" t="s">
        <v>3512</v>
      </c>
      <c r="ES53" t="s">
        <v>3504</v>
      </c>
    </row>
    <row r="54" spans="1:149">
      <c r="A54" t="str">
        <f>'Translate&amp;Prices&amp;Logo'!$B$31</f>
        <v>Vivaro gold - maximum profile length 2150 mm</v>
      </c>
      <c r="B54">
        <v>2</v>
      </c>
      <c r="C54" t="s">
        <v>1122</v>
      </c>
      <c r="D54">
        <v>1</v>
      </c>
      <c r="ED54" t="s">
        <v>2606</v>
      </c>
      <c r="EE54" t="s">
        <v>2762</v>
      </c>
      <c r="ER54" t="s">
        <v>3513</v>
      </c>
      <c r="ES54" t="s">
        <v>3505</v>
      </c>
    </row>
    <row r="55" spans="1:149">
      <c r="A55" t="str">
        <f>'Translate&amp;Prices&amp;Logo'!$B$57</f>
        <v>Vivaro gold brushed - maximum profile length 2150 mm</v>
      </c>
      <c r="B55">
        <v>2</v>
      </c>
      <c r="C55" t="s">
        <v>1122</v>
      </c>
      <c r="D55">
        <v>0</v>
      </c>
      <c r="ED55" t="s">
        <v>2607</v>
      </c>
      <c r="EE55" t="s">
        <v>2763</v>
      </c>
      <c r="ER55" t="s">
        <v>3514</v>
      </c>
      <c r="ES55" t="s">
        <v>3506</v>
      </c>
    </row>
    <row r="56" spans="1:149">
      <c r="A56">
        <f>'Translate&amp;Prices&amp;Logo'!$B$77</f>
        <v>0</v>
      </c>
      <c r="B56">
        <v>3</v>
      </c>
      <c r="C56" t="s">
        <v>1122</v>
      </c>
      <c r="D56">
        <v>0</v>
      </c>
      <c r="ED56" t="s">
        <v>2608</v>
      </c>
      <c r="EE56" t="s">
        <v>2764</v>
      </c>
      <c r="ER56" t="s">
        <v>3515</v>
      </c>
      <c r="ES56" t="s">
        <v>3507</v>
      </c>
    </row>
    <row r="57" spans="1:149">
      <c r="A57">
        <f>'Translate&amp;Prices&amp;Logo'!$B$78</f>
        <v>0</v>
      </c>
      <c r="B57">
        <v>3</v>
      </c>
      <c r="C57" t="s">
        <v>1122</v>
      </c>
      <c r="D57">
        <v>0</v>
      </c>
      <c r="ED57" t="s">
        <v>2609</v>
      </c>
      <c r="EE57" t="s">
        <v>2765</v>
      </c>
      <c r="ER57" t="s">
        <v>3195</v>
      </c>
      <c r="ES57" t="s">
        <v>3183</v>
      </c>
    </row>
    <row r="58" spans="1:149">
      <c r="A58">
        <f>'Translate&amp;Prices&amp;Logo'!$B$79</f>
        <v>0</v>
      </c>
      <c r="B58">
        <v>3</v>
      </c>
      <c r="C58" t="s">
        <v>1122</v>
      </c>
      <c r="D58">
        <v>0</v>
      </c>
      <c r="ED58" t="s">
        <v>2610</v>
      </c>
      <c r="EE58" t="s">
        <v>2766</v>
      </c>
      <c r="ER58" t="s">
        <v>3196</v>
      </c>
      <c r="ES58" t="s">
        <v>3184</v>
      </c>
    </row>
    <row r="59" spans="1:149">
      <c r="A59">
        <f>'Translate&amp;Prices&amp;Logo'!$B$82</f>
        <v>0</v>
      </c>
      <c r="B59">
        <v>3</v>
      </c>
      <c r="C59" t="s">
        <v>1122</v>
      </c>
      <c r="D59">
        <v>0</v>
      </c>
      <c r="AA59" t="s">
        <v>3056</v>
      </c>
      <c r="AB59" t="s">
        <v>3058</v>
      </c>
      <c r="ED59" t="s">
        <v>2611</v>
      </c>
      <c r="EE59" t="s">
        <v>2767</v>
      </c>
      <c r="ER59" t="s">
        <v>3197</v>
      </c>
      <c r="ES59" t="s">
        <v>3185</v>
      </c>
    </row>
    <row r="60" spans="1:149">
      <c r="A60" t="str">
        <f>'Translate&amp;Prices&amp;Logo'!$B$80</f>
        <v>Rocca elox (Left and Right) + Varna elox (Top and Bottom)</v>
      </c>
      <c r="B60">
        <v>3</v>
      </c>
      <c r="C60" t="s">
        <v>1122</v>
      </c>
      <c r="D60">
        <v>0</v>
      </c>
      <c r="AB60" t="s">
        <v>1901</v>
      </c>
      <c r="AC60">
        <v>0</v>
      </c>
      <c r="AD60">
        <v>0</v>
      </c>
      <c r="ED60" t="s">
        <v>2612</v>
      </c>
      <c r="EE60" t="s">
        <v>2768</v>
      </c>
      <c r="ER60" t="s">
        <v>3198</v>
      </c>
      <c r="ES60" t="s">
        <v>3186</v>
      </c>
    </row>
    <row r="61" spans="1:149">
      <c r="A61" t="str">
        <f>'Translate&amp;Prices&amp;Logo'!$B$81</f>
        <v>Rocca black (Left and right) + Varna black (Top and bottom)</v>
      </c>
      <c r="B61">
        <v>3</v>
      </c>
      <c r="C61" t="s">
        <v>1122</v>
      </c>
      <c r="D61">
        <v>0</v>
      </c>
      <c r="AB61" t="s">
        <v>1903</v>
      </c>
      <c r="AC61">
        <v>0</v>
      </c>
      <c r="AD61">
        <v>0</v>
      </c>
      <c r="ED61" t="s">
        <v>2613</v>
      </c>
      <c r="EE61" t="s">
        <v>2769</v>
      </c>
      <c r="ER61" t="s">
        <v>3199</v>
      </c>
      <c r="ES61" t="s">
        <v>3187</v>
      </c>
    </row>
    <row r="62" spans="1:149">
      <c r="A62" t="str">
        <f>'Translate&amp;Prices&amp;Logo'!$B$71</f>
        <v>ROMA black matt  - maximum profile length 2696 mm</v>
      </c>
      <c r="B62">
        <v>1</v>
      </c>
      <c r="C62" t="s">
        <v>1122</v>
      </c>
      <c r="D62">
        <v>0</v>
      </c>
      <c r="AB62" t="s">
        <v>1904</v>
      </c>
      <c r="AC62">
        <v>0</v>
      </c>
      <c r="AD62">
        <v>0</v>
      </c>
      <c r="ED62" t="s">
        <v>2614</v>
      </c>
      <c r="EE62" t="s">
        <v>2770</v>
      </c>
      <c r="ER62" t="s">
        <v>3200</v>
      </c>
      <c r="ES62" t="s">
        <v>3188</v>
      </c>
    </row>
    <row r="63" spans="1:149">
      <c r="A63" t="str">
        <f>'Translate&amp;Prices&amp;Logo'!$B$72</f>
        <v>ROMA champagne matt  - maximum profile length 2696 mm</v>
      </c>
      <c r="B63">
        <v>1</v>
      </c>
      <c r="C63" t="s">
        <v>1122</v>
      </c>
      <c r="D63">
        <v>0</v>
      </c>
      <c r="AB63" t="s">
        <v>1906</v>
      </c>
      <c r="AC63">
        <v>0</v>
      </c>
      <c r="AD63">
        <v>0</v>
      </c>
      <c r="ED63" t="s">
        <v>2615</v>
      </c>
      <c r="EE63" t="s">
        <v>2771</v>
      </c>
      <c r="ER63" t="s">
        <v>3516</v>
      </c>
      <c r="ES63" t="s">
        <v>3500</v>
      </c>
    </row>
    <row r="64" spans="1:149">
      <c r="A64" t="str">
        <f>'Translate&amp;Prices&amp;Logo'!$B$73</f>
        <v>ROMA GRIP black matt  - maximum profile length 2696 mm</v>
      </c>
      <c r="B64">
        <v>1</v>
      </c>
      <c r="C64" t="s">
        <v>1122</v>
      </c>
      <c r="D64">
        <v>0</v>
      </c>
      <c r="ED64" t="s">
        <v>2616</v>
      </c>
      <c r="EE64" t="s">
        <v>2772</v>
      </c>
      <c r="ER64" t="s">
        <v>3517</v>
      </c>
      <c r="ES64" t="s">
        <v>3501</v>
      </c>
    </row>
    <row r="65" spans="1:149">
      <c r="A65" t="str">
        <f>'Translate&amp;Prices&amp;Logo'!$B$74</f>
        <v>ROMA GRIP champagne matt  - maximum profile length 2696 mm</v>
      </c>
      <c r="B65">
        <v>1</v>
      </c>
      <c r="C65" t="s">
        <v>1122</v>
      </c>
      <c r="D65">
        <v>0</v>
      </c>
      <c r="ED65" t="s">
        <v>2650</v>
      </c>
      <c r="EE65" t="s">
        <v>2711</v>
      </c>
      <c r="ER65" t="s">
        <v>3219</v>
      </c>
      <c r="ES65" t="s">
        <v>3207</v>
      </c>
    </row>
    <row r="66" spans="1:149">
      <c r="ED66" t="s">
        <v>2651</v>
      </c>
      <c r="EE66" t="s">
        <v>2712</v>
      </c>
      <c r="ER66" t="s">
        <v>3220</v>
      </c>
      <c r="ES66" t="s">
        <v>3208</v>
      </c>
    </row>
    <row r="67" spans="1:149">
      <c r="Q67" t="str">
        <f>'Translate&amp;Prices&amp;Logo'!$B$69</f>
        <v>BRW champagne - maximum profile length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3518</v>
      </c>
      <c r="ES71" t="s">
        <v>3502</v>
      </c>
    </row>
    <row r="72" spans="1:149">
      <c r="ED72" t="s">
        <v>2657</v>
      </c>
      <c r="EE72" t="s">
        <v>2718</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3526</v>
      </c>
      <c r="ES91" t="s">
        <v>3502</v>
      </c>
    </row>
    <row r="92" spans="134:149">
      <c r="ED92" t="s">
        <v>2675</v>
      </c>
      <c r="EE92" t="s">
        <v>2737</v>
      </c>
      <c r="ER92" t="s">
        <v>3527</v>
      </c>
      <c r="ES92" t="s">
        <v>3503</v>
      </c>
    </row>
    <row r="93" spans="134:149">
      <c r="ED93" t="s">
        <v>2676</v>
      </c>
      <c r="EE93" t="s">
        <v>2738</v>
      </c>
      <c r="ER93" t="s">
        <v>3528</v>
      </c>
      <c r="ES93" t="s">
        <v>3504</v>
      </c>
    </row>
    <row r="94" spans="134:149">
      <c r="ED94" t="s">
        <v>2677</v>
      </c>
      <c r="EE94" t="s">
        <v>2739</v>
      </c>
      <c r="ER94" t="s">
        <v>3529</v>
      </c>
      <c r="ES94" t="s">
        <v>3505</v>
      </c>
    </row>
    <row r="95" spans="134:149">
      <c r="ED95" t="s">
        <v>2678</v>
      </c>
      <c r="EE95" t="s">
        <v>2740</v>
      </c>
      <c r="ER95" t="s">
        <v>3530</v>
      </c>
      <c r="ES95" t="s">
        <v>3506</v>
      </c>
    </row>
    <row r="96" spans="134:149">
      <c r="ED96" t="s">
        <v>2679</v>
      </c>
      <c r="EE96" t="s">
        <v>2741</v>
      </c>
      <c r="ER96" t="s">
        <v>3531</v>
      </c>
      <c r="ES96" t="s">
        <v>3507</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8"/>
      <c r="ED222" t="s">
        <v>2804</v>
      </c>
      <c r="EE222" t="s">
        <v>2741</v>
      </c>
    </row>
    <row r="223" spans="124:135">
      <c r="DT223" s="338"/>
      <c r="ED223" t="s">
        <v>2805</v>
      </c>
      <c r="EE223" t="s">
        <v>2742</v>
      </c>
    </row>
    <row r="224" spans="124:135">
      <c r="DT224" s="338"/>
      <c r="ED224" t="s">
        <v>2806</v>
      </c>
      <c r="EE224" t="s">
        <v>2743</v>
      </c>
    </row>
    <row r="225" spans="124:135">
      <c r="DT225" s="338"/>
      <c r="ED225" t="s">
        <v>2807</v>
      </c>
      <c r="EE225" t="s">
        <v>2744</v>
      </c>
    </row>
    <row r="226" spans="124:135">
      <c r="DT226" s="366"/>
      <c r="ED226" t="s">
        <v>2808</v>
      </c>
      <c r="EE226" t="s">
        <v>2745</v>
      </c>
    </row>
    <row r="227" spans="124:135">
      <c r="DT227" s="366"/>
      <c r="ED227" t="s">
        <v>2809</v>
      </c>
      <c r="EE227" t="s">
        <v>2746</v>
      </c>
    </row>
    <row r="228" spans="124:135">
      <c r="DT228" s="366"/>
      <c r="ED228" t="s">
        <v>2810</v>
      </c>
      <c r="EE228" t="s">
        <v>2747</v>
      </c>
    </row>
    <row r="229" spans="124:135">
      <c r="DT229" s="366"/>
      <c r="ED229" t="s">
        <v>2811</v>
      </c>
      <c r="EE229" t="s">
        <v>2748</v>
      </c>
    </row>
    <row r="230" spans="124:135">
      <c r="DT230" s="365"/>
      <c r="ED230" t="s">
        <v>2812</v>
      </c>
      <c r="EE230" t="s">
        <v>2749</v>
      </c>
    </row>
    <row r="231" spans="124:135">
      <c r="DT231" s="365"/>
      <c r="ED231" t="s">
        <v>2813</v>
      </c>
      <c r="EE231" t="s">
        <v>2750</v>
      </c>
    </row>
    <row r="232" spans="124:135">
      <c r="DT232" s="365"/>
      <c r="ED232" t="s">
        <v>2814</v>
      </c>
      <c r="EE232" t="s">
        <v>2751</v>
      </c>
    </row>
    <row r="233" spans="124:135">
      <c r="DT233" s="365"/>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5"/>
      <c r="ED238" t="s">
        <v>2820</v>
      </c>
      <c r="EE238" t="s">
        <v>2757</v>
      </c>
    </row>
    <row r="239" spans="124:135">
      <c r="DT239" s="365"/>
      <c r="ED239" t="s">
        <v>2821</v>
      </c>
      <c r="EE239" t="s">
        <v>2758</v>
      </c>
    </row>
    <row r="240" spans="124:135">
      <c r="DT240" s="365"/>
      <c r="ED240" t="s">
        <v>2822</v>
      </c>
      <c r="EE240" t="s">
        <v>2759</v>
      </c>
    </row>
    <row r="241" spans="124:135">
      <c r="DT241" s="365"/>
      <c r="ED241" t="s">
        <v>2823</v>
      </c>
      <c r="EE241" t="s">
        <v>2760</v>
      </c>
    </row>
    <row r="242" spans="124:135">
      <c r="DT242" s="351"/>
      <c r="ED242" t="s">
        <v>2824</v>
      </c>
      <c r="EE242" t="s">
        <v>2761</v>
      </c>
    </row>
    <row r="243" spans="124:135">
      <c r="ED243" t="s">
        <v>2825</v>
      </c>
      <c r="EE243" t="s">
        <v>2762</v>
      </c>
    </row>
    <row r="244" spans="124:135">
      <c r="DT244" s="351"/>
      <c r="ED244" t="s">
        <v>2826</v>
      </c>
      <c r="EE244" t="s">
        <v>2763</v>
      </c>
    </row>
    <row r="245" spans="124:135">
      <c r="DT245" s="351"/>
      <c r="ED245" t="s">
        <v>2827</v>
      </c>
      <c r="EE245" t="s">
        <v>2764</v>
      </c>
    </row>
    <row r="246" spans="124:135">
      <c r="DT246" s="351"/>
      <c r="ED246" t="s">
        <v>2828</v>
      </c>
      <c r="EE246" t="s">
        <v>2765</v>
      </c>
    </row>
    <row r="247" spans="124:135">
      <c r="DT247" s="387"/>
      <c r="ED247" t="s">
        <v>2829</v>
      </c>
      <c r="EE247" t="s">
        <v>2766</v>
      </c>
    </row>
    <row r="248" spans="124:135">
      <c r="DT248" s="387"/>
      <c r="ED248" t="s">
        <v>2830</v>
      </c>
      <c r="EE248" t="s">
        <v>2767</v>
      </c>
    </row>
    <row r="249" spans="124:135">
      <c r="DT249" s="387"/>
      <c r="ED249" t="s">
        <v>2831</v>
      </c>
      <c r="EE249" t="s">
        <v>2768</v>
      </c>
    </row>
    <row r="250" spans="124:135">
      <c r="DT250" s="387"/>
      <c r="ED250" t="s">
        <v>2832</v>
      </c>
      <c r="EE250" t="s">
        <v>2769</v>
      </c>
    </row>
    <row r="251" spans="124:135">
      <c r="DT251" s="387"/>
      <c r="ED251" t="s">
        <v>2833</v>
      </c>
      <c r="EE251" t="s">
        <v>2770</v>
      </c>
    </row>
    <row r="252" spans="124:135">
      <c r="DT252" s="387"/>
      <c r="ED252" t="s">
        <v>2834</v>
      </c>
      <c r="EE252" t="s">
        <v>2771</v>
      </c>
    </row>
    <row r="253" spans="124:135">
      <c r="DT253" s="387"/>
      <c r="ED253" t="s">
        <v>2835</v>
      </c>
      <c r="EE253" t="s">
        <v>2772</v>
      </c>
    </row>
    <row r="254" spans="124:135">
      <c r="DT254" s="387"/>
      <c r="ED254" t="s">
        <v>2836</v>
      </c>
      <c r="EE254" t="s">
        <v>2711</v>
      </c>
    </row>
    <row r="255" spans="124:135">
      <c r="DT255" s="387"/>
      <c r="ED255" t="s">
        <v>2837</v>
      </c>
      <c r="EE255" t="s">
        <v>2712</v>
      </c>
    </row>
    <row r="256" spans="124:135">
      <c r="DT256" s="387"/>
      <c r="ED256" t="s">
        <v>2838</v>
      </c>
      <c r="EE256" t="s">
        <v>2713</v>
      </c>
    </row>
    <row r="257" spans="118:135">
      <c r="ED257" t="s">
        <v>2839</v>
      </c>
      <c r="EE257" t="s">
        <v>2714</v>
      </c>
    </row>
    <row r="258" spans="118:135">
      <c r="ED258" t="s">
        <v>2840</v>
      </c>
      <c r="EE258" t="s">
        <v>2715</v>
      </c>
    </row>
    <row r="259" spans="118:135">
      <c r="DN259" s="351"/>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6"/>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8"/>
      <c r="DU292" s="365"/>
      <c r="ED292" t="s">
        <v>2874</v>
      </c>
      <c r="EE292" t="s">
        <v>2748</v>
      </c>
    </row>
    <row r="293" spans="124:135">
      <c r="DT293" s="338"/>
      <c r="DU293" s="365"/>
      <c r="ED293" t="s">
        <v>2875</v>
      </c>
      <c r="EE293" t="s">
        <v>2749</v>
      </c>
    </row>
    <row r="294" spans="124:135">
      <c r="DT294" s="338"/>
      <c r="DU294" s="365"/>
      <c r="ED294" t="s">
        <v>2876</v>
      </c>
      <c r="EE294" t="s">
        <v>2750</v>
      </c>
    </row>
    <row r="295" spans="124:135">
      <c r="DT295" s="338"/>
      <c r="DU295" s="365"/>
      <c r="ED295" t="s">
        <v>2877</v>
      </c>
      <c r="EE295" t="s">
        <v>2751</v>
      </c>
    </row>
    <row r="296" spans="124:135">
      <c r="DT296" s="366"/>
      <c r="DU296" s="365"/>
      <c r="ED296" t="s">
        <v>2878</v>
      </c>
      <c r="EE296" t="s">
        <v>2752</v>
      </c>
    </row>
    <row r="297" spans="124:135">
      <c r="DT297" s="366"/>
      <c r="DU297" s="365"/>
      <c r="ED297" t="s">
        <v>2879</v>
      </c>
      <c r="EE297" t="s">
        <v>2753</v>
      </c>
    </row>
    <row r="298" spans="124:135">
      <c r="DT298" s="366"/>
      <c r="DU298" s="365"/>
      <c r="ED298" t="s">
        <v>2880</v>
      </c>
      <c r="EE298" t="s">
        <v>2754</v>
      </c>
    </row>
    <row r="299" spans="124:135">
      <c r="DT299" s="366"/>
      <c r="DU299" s="365"/>
      <c r="ED299" t="s">
        <v>2881</v>
      </c>
      <c r="EE299" t="s">
        <v>2755</v>
      </c>
    </row>
    <row r="300" spans="124:135">
      <c r="DT300" s="365"/>
      <c r="DU300" s="365"/>
      <c r="ED300" t="s">
        <v>2882</v>
      </c>
      <c r="EE300" t="s">
        <v>2756</v>
      </c>
    </row>
    <row r="301" spans="124:135">
      <c r="DT301" s="365"/>
      <c r="DU301" s="365"/>
      <c r="ED301" t="s">
        <v>2883</v>
      </c>
      <c r="EE301" t="s">
        <v>2757</v>
      </c>
    </row>
    <row r="302" spans="124:135">
      <c r="DT302" s="365"/>
      <c r="DU302" s="365"/>
      <c r="ED302" t="s">
        <v>2884</v>
      </c>
      <c r="EE302" t="s">
        <v>2758</v>
      </c>
    </row>
    <row r="303" spans="124:135">
      <c r="DT303" s="365"/>
      <c r="DU303" s="365"/>
      <c r="ED303" t="s">
        <v>2885</v>
      </c>
      <c r="EE303" t="s">
        <v>2759</v>
      </c>
    </row>
    <row r="304" spans="124:135">
      <c r="DT304" s="168"/>
      <c r="DU304" s="365"/>
      <c r="ED304" t="s">
        <v>2886</v>
      </c>
      <c r="EE304" t="s">
        <v>2760</v>
      </c>
    </row>
    <row r="305" spans="124:135">
      <c r="DT305" s="168"/>
      <c r="DU305" s="365"/>
      <c r="ED305" t="s">
        <v>2887</v>
      </c>
      <c r="EE305" t="s">
        <v>2761</v>
      </c>
    </row>
    <row r="306" spans="124:135">
      <c r="DT306" s="168"/>
      <c r="DU306" s="365"/>
      <c r="ED306" t="s">
        <v>2888</v>
      </c>
      <c r="EE306" t="s">
        <v>2762</v>
      </c>
    </row>
    <row r="307" spans="124:135">
      <c r="DT307" s="168"/>
      <c r="DU307" s="365"/>
      <c r="ED307" t="s">
        <v>2889</v>
      </c>
      <c r="EE307" t="s">
        <v>2763</v>
      </c>
    </row>
    <row r="308" spans="124:135">
      <c r="DT308" s="365"/>
      <c r="DU308" s="365"/>
      <c r="ED308" t="s">
        <v>2890</v>
      </c>
      <c r="EE308" t="s">
        <v>2764</v>
      </c>
    </row>
    <row r="309" spans="124:135">
      <c r="DT309" s="365"/>
      <c r="DU309" s="365"/>
      <c r="ED309" t="s">
        <v>2891</v>
      </c>
      <c r="EE309" t="s">
        <v>2765</v>
      </c>
    </row>
    <row r="310" spans="124:135">
      <c r="DT310" s="365"/>
      <c r="DU310" s="365"/>
      <c r="ED310" t="s">
        <v>2892</v>
      </c>
      <c r="EE310" t="s">
        <v>2766</v>
      </c>
    </row>
    <row r="311" spans="124:135">
      <c r="DT311" s="365"/>
      <c r="DU311" s="365"/>
      <c r="ED311" t="s">
        <v>2893</v>
      </c>
      <c r="EE311" t="s">
        <v>2767</v>
      </c>
    </row>
    <row r="312" spans="124:135">
      <c r="DT312" s="387"/>
      <c r="DU312" s="387"/>
      <c r="ED312" t="s">
        <v>2894</v>
      </c>
      <c r="EE312" t="s">
        <v>2768</v>
      </c>
    </row>
    <row r="313" spans="124:135">
      <c r="DT313" s="387"/>
      <c r="DU313" s="387"/>
      <c r="ED313" t="s">
        <v>2895</v>
      </c>
      <c r="EE313" t="s">
        <v>2769</v>
      </c>
    </row>
    <row r="314" spans="124:135">
      <c r="DT314" s="387"/>
      <c r="DU314" s="387"/>
      <c r="ED314" t="s">
        <v>2896</v>
      </c>
      <c r="EE314" t="s">
        <v>2770</v>
      </c>
    </row>
    <row r="315" spans="124:135">
      <c r="DT315" s="387"/>
      <c r="DU315" s="387"/>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6" t="s">
        <v>3590</v>
      </c>
      <c r="EE331" t="s">
        <v>3588</v>
      </c>
    </row>
    <row r="332" spans="134:135">
      <c r="ED332" t="s">
        <v>3591</v>
      </c>
      <c r="EE332" t="s">
        <v>3589</v>
      </c>
    </row>
    <row r="333" spans="134:135">
      <c r="ED333" t="s">
        <v>3689</v>
      </c>
      <c r="EE333" t="s">
        <v>3690</v>
      </c>
    </row>
    <row r="334" spans="134:135">
      <c r="ED334" t="s">
        <v>3691</v>
      </c>
      <c r="EE334" t="s">
        <v>3692</v>
      </c>
    </row>
    <row r="335" spans="134:135">
      <c r="ED335" t="s">
        <v>3693</v>
      </c>
      <c r="EE335" t="s">
        <v>3694</v>
      </c>
    </row>
    <row r="336" spans="134:135">
      <c r="ED336" t="s">
        <v>3695</v>
      </c>
      <c r="EE336" t="s">
        <v>3696</v>
      </c>
    </row>
    <row r="337" spans="134:135">
      <c r="ED337" t="s">
        <v>3697</v>
      </c>
      <c r="EE337" t="s">
        <v>3698</v>
      </c>
    </row>
    <row r="338" spans="134:135">
      <c r="ED338" t="s">
        <v>3699</v>
      </c>
      <c r="EE338" t="s">
        <v>3700</v>
      </c>
    </row>
    <row r="339" spans="134:135">
      <c r="ED339" t="s">
        <v>3701</v>
      </c>
      <c r="EE339" t="s">
        <v>3702</v>
      </c>
    </row>
    <row r="340" spans="134:135">
      <c r="ED340" t="s">
        <v>3703</v>
      </c>
      <c r="EE340" t="s">
        <v>3704</v>
      </c>
    </row>
    <row r="341" spans="134:135">
      <c r="ED341" t="s">
        <v>3705</v>
      </c>
      <c r="EE341" t="s">
        <v>3706</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8"/>
      <c r="ED353" t="s">
        <v>3728</v>
      </c>
      <c r="EE353" t="s">
        <v>3729</v>
      </c>
    </row>
    <row r="354" spans="127:135">
      <c r="DW354" s="338"/>
      <c r="ED354" t="s">
        <v>3730</v>
      </c>
      <c r="EE354" t="s">
        <v>3731</v>
      </c>
    </row>
    <row r="355" spans="127:135">
      <c r="DW355" s="338"/>
      <c r="ED355" t="s">
        <v>3732</v>
      </c>
      <c r="EE355" t="s">
        <v>3733</v>
      </c>
    </row>
    <row r="356" spans="127:135">
      <c r="DW356" s="338"/>
      <c r="ED356" t="s">
        <v>3734</v>
      </c>
      <c r="EE356" t="s">
        <v>3735</v>
      </c>
    </row>
    <row r="357" spans="127:135">
      <c r="DW357" s="338"/>
      <c r="ED357" t="s">
        <v>3736</v>
      </c>
      <c r="EE357" t="s">
        <v>3737</v>
      </c>
    </row>
    <row r="358" spans="127:135">
      <c r="DW358" s="338"/>
      <c r="ED358" t="s">
        <v>3738</v>
      </c>
      <c r="EE358" t="s">
        <v>3739</v>
      </c>
    </row>
    <row r="359" spans="127:135">
      <c r="DW359" s="168"/>
      <c r="ED359" t="s">
        <v>3740</v>
      </c>
      <c r="EE359" t="s">
        <v>3741</v>
      </c>
    </row>
    <row r="360" spans="127:135">
      <c r="DW360" s="338"/>
      <c r="ED360" t="s">
        <v>3742</v>
      </c>
      <c r="EE360" t="s">
        <v>3743</v>
      </c>
    </row>
    <row r="361" spans="127:135">
      <c r="DW361" s="338"/>
      <c r="ED361" t="s">
        <v>3744</v>
      </c>
      <c r="EE361" t="s">
        <v>3745</v>
      </c>
    </row>
    <row r="362" spans="127:135">
      <c r="DW362" s="338"/>
      <c r="ED362" t="s">
        <v>3746</v>
      </c>
      <c r="EE362" t="s">
        <v>3747</v>
      </c>
    </row>
    <row r="363" spans="127:135">
      <c r="DW363" s="338"/>
      <c r="ED363" t="s">
        <v>3748</v>
      </c>
      <c r="EE363" t="s">
        <v>3749</v>
      </c>
    </row>
    <row r="364" spans="127:135">
      <c r="ED364" t="s">
        <v>3750</v>
      </c>
      <c r="EE364" t="s">
        <v>3751</v>
      </c>
    </row>
    <row r="365" spans="127:135">
      <c r="ED365" t="s">
        <v>3752</v>
      </c>
      <c r="EE365" t="s">
        <v>3753</v>
      </c>
    </row>
    <row r="366" spans="127:135">
      <c r="ED366" t="s">
        <v>3754</v>
      </c>
      <c r="EE366" t="s">
        <v>3755</v>
      </c>
    </row>
    <row r="367" spans="127:135">
      <c r="ED367" t="s">
        <v>3756</v>
      </c>
      <c r="EE367" t="s">
        <v>3757</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3690</v>
      </c>
    </row>
    <row r="399" spans="134:135">
      <c r="ED399" t="s">
        <v>3819</v>
      </c>
      <c r="EE399" t="s">
        <v>3692</v>
      </c>
    </row>
    <row r="400" spans="134:135">
      <c r="ED400" t="s">
        <v>3820</v>
      </c>
      <c r="EE400" t="s">
        <v>3694</v>
      </c>
    </row>
    <row r="401" spans="128:135">
      <c r="ED401" t="s">
        <v>3821</v>
      </c>
      <c r="EE401" t="s">
        <v>3696</v>
      </c>
    </row>
    <row r="402" spans="128:135">
      <c r="ED402" t="s">
        <v>3822</v>
      </c>
      <c r="EE402" t="s">
        <v>3698</v>
      </c>
    </row>
    <row r="403" spans="128:135">
      <c r="ED403" t="s">
        <v>3823</v>
      </c>
      <c r="EE403" t="s">
        <v>3700</v>
      </c>
    </row>
    <row r="404" spans="128:135">
      <c r="ED404" t="s">
        <v>3824</v>
      </c>
      <c r="EE404" t="s">
        <v>3702</v>
      </c>
    </row>
    <row r="405" spans="128:135">
      <c r="ED405" t="s">
        <v>3825</v>
      </c>
      <c r="EE405" t="s">
        <v>3704</v>
      </c>
    </row>
    <row r="406" spans="128:135">
      <c r="ED406" t="s">
        <v>3826</v>
      </c>
      <c r="EE406" t="s">
        <v>3706</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6"/>
      <c r="ED414" t="s">
        <v>3834</v>
      </c>
      <c r="EE414" t="s">
        <v>3722</v>
      </c>
    </row>
    <row r="415" spans="128:135">
      <c r="DX415" s="286"/>
      <c r="ED415" t="s">
        <v>3835</v>
      </c>
      <c r="EE415" t="s">
        <v>3724</v>
      </c>
    </row>
    <row r="416" spans="128:135">
      <c r="DX416" s="286"/>
      <c r="ED416" t="s">
        <v>3836</v>
      </c>
      <c r="EE416" t="s">
        <v>3726</v>
      </c>
    </row>
    <row r="417" spans="128:135">
      <c r="DX417" s="286"/>
      <c r="ED417" t="s">
        <v>3837</v>
      </c>
      <c r="EE417" t="s">
        <v>3727</v>
      </c>
    </row>
    <row r="418" spans="128:135">
      <c r="DX418" s="286"/>
      <c r="ED418" t="s">
        <v>3688</v>
      </c>
      <c r="EE418" t="s">
        <v>3729</v>
      </c>
    </row>
    <row r="419" spans="128:135">
      <c r="ED419" t="s">
        <v>3838</v>
      </c>
      <c r="EE419" t="s">
        <v>3731</v>
      </c>
    </row>
    <row r="420" spans="128:135">
      <c r="ED420" t="s">
        <v>3839</v>
      </c>
      <c r="EE420" t="s">
        <v>3733</v>
      </c>
    </row>
    <row r="421" spans="128:135">
      <c r="ED421" t="s">
        <v>3840</v>
      </c>
      <c r="EE421" t="s">
        <v>3735</v>
      </c>
    </row>
    <row r="422" spans="128:135">
      <c r="ED422" t="s">
        <v>3841</v>
      </c>
      <c r="EE422" t="s">
        <v>3737</v>
      </c>
    </row>
    <row r="423" spans="128:135">
      <c r="ED423" t="s">
        <v>3842</v>
      </c>
      <c r="EE423" t="s">
        <v>3739</v>
      </c>
    </row>
    <row r="424" spans="128:135">
      <c r="ED424" t="s">
        <v>3843</v>
      </c>
      <c r="EE424" t="s">
        <v>3741</v>
      </c>
    </row>
    <row r="425" spans="128:135">
      <c r="ED425" t="s">
        <v>3844</v>
      </c>
      <c r="EE425" t="s">
        <v>3743</v>
      </c>
    </row>
    <row r="426" spans="128:135">
      <c r="ED426" t="s">
        <v>3845</v>
      </c>
      <c r="EE426" t="s">
        <v>3745</v>
      </c>
    </row>
    <row r="427" spans="128:135">
      <c r="ED427" t="s">
        <v>3846</v>
      </c>
      <c r="EE427" t="s">
        <v>3747</v>
      </c>
    </row>
    <row r="428" spans="128:135">
      <c r="ED428" t="s">
        <v>3847</v>
      </c>
      <c r="EE428" t="s">
        <v>3749</v>
      </c>
    </row>
    <row r="429" spans="128:135">
      <c r="ED429" t="s">
        <v>3848</v>
      </c>
      <c r="EE429" t="s">
        <v>3751</v>
      </c>
    </row>
    <row r="430" spans="128:135">
      <c r="ED430" t="s">
        <v>3849</v>
      </c>
      <c r="EE430" t="s">
        <v>3753</v>
      </c>
    </row>
    <row r="431" spans="128:135">
      <c r="ED431" t="s">
        <v>3850</v>
      </c>
      <c r="EE431" t="s">
        <v>3755</v>
      </c>
    </row>
    <row r="432" spans="128:135">
      <c r="ED432" t="s">
        <v>3851</v>
      </c>
      <c r="EE432" t="s">
        <v>3757</v>
      </c>
    </row>
    <row r="433" spans="134:135">
      <c r="ED433" t="s">
        <v>3852</v>
      </c>
      <c r="EE433" t="s">
        <v>3759</v>
      </c>
    </row>
    <row r="434" spans="134:135">
      <c r="ED434" t="s">
        <v>3853</v>
      </c>
      <c r="EE434" t="s">
        <v>3761</v>
      </c>
    </row>
    <row r="435" spans="134:135">
      <c r="ED435" t="s">
        <v>3854</v>
      </c>
      <c r="EE435" t="s">
        <v>3763</v>
      </c>
    </row>
    <row r="436" spans="134:135">
      <c r="ED436" t="s">
        <v>3855</v>
      </c>
      <c r="EE436" t="s">
        <v>3765</v>
      </c>
    </row>
    <row r="437" spans="134:135">
      <c r="ED437" t="s">
        <v>3856</v>
      </c>
      <c r="EE437" t="s">
        <v>3767</v>
      </c>
    </row>
    <row r="438" spans="134:135">
      <c r="ED438" t="s">
        <v>3857</v>
      </c>
      <c r="EE438" t="s">
        <v>3769</v>
      </c>
    </row>
    <row r="439" spans="134:135">
      <c r="ED439" t="s">
        <v>3858</v>
      </c>
      <c r="EE439" t="s">
        <v>3771</v>
      </c>
    </row>
    <row r="440" spans="134:135">
      <c r="ED440" t="s">
        <v>3859</v>
      </c>
      <c r="EE440" t="s">
        <v>3773</v>
      </c>
    </row>
    <row r="441" spans="134:135">
      <c r="ED441" t="s">
        <v>3860</v>
      </c>
      <c r="EE441" t="s">
        <v>3775</v>
      </c>
    </row>
    <row r="442" spans="134:135">
      <c r="ED442" t="s">
        <v>3861</v>
      </c>
      <c r="EE442" t="s">
        <v>3777</v>
      </c>
    </row>
    <row r="443" spans="134:135">
      <c r="ED443" t="s">
        <v>3862</v>
      </c>
      <c r="EE443" t="s">
        <v>3779</v>
      </c>
    </row>
    <row r="444" spans="134:135">
      <c r="ED444" t="s">
        <v>3863</v>
      </c>
      <c r="EE444" t="s">
        <v>3781</v>
      </c>
    </row>
    <row r="445" spans="134:135">
      <c r="ED445" t="s">
        <v>3864</v>
      </c>
      <c r="EE445" t="s">
        <v>3783</v>
      </c>
    </row>
    <row r="446" spans="134:135">
      <c r="ED446" t="s">
        <v>3865</v>
      </c>
      <c r="EE446" t="s">
        <v>3785</v>
      </c>
    </row>
    <row r="447" spans="134:135">
      <c r="ED447" t="s">
        <v>3866</v>
      </c>
      <c r="EE447" t="s">
        <v>3787</v>
      </c>
    </row>
    <row r="448" spans="134:135">
      <c r="ED448" t="s">
        <v>3867</v>
      </c>
      <c r="EE448" t="s">
        <v>3789</v>
      </c>
    </row>
    <row r="449" spans="134:135">
      <c r="ED449" t="s">
        <v>3868</v>
      </c>
      <c r="EE449" t="s">
        <v>3791</v>
      </c>
    </row>
    <row r="450" spans="134:135">
      <c r="ED450" t="s">
        <v>3869</v>
      </c>
      <c r="EE450" t="s">
        <v>3793</v>
      </c>
    </row>
    <row r="451" spans="134:135">
      <c r="ED451" t="s">
        <v>3870</v>
      </c>
      <c r="EE451" t="s">
        <v>3795</v>
      </c>
    </row>
    <row r="452" spans="134:135">
      <c r="ED452" t="s">
        <v>3871</v>
      </c>
      <c r="EE452" t="s">
        <v>3797</v>
      </c>
    </row>
    <row r="453" spans="134:135">
      <c r="ED453" t="s">
        <v>3872</v>
      </c>
      <c r="EE453" t="s">
        <v>3799</v>
      </c>
    </row>
    <row r="454" spans="134:135">
      <c r="ED454" t="s">
        <v>3873</v>
      </c>
      <c r="EE454" t="s">
        <v>3801</v>
      </c>
    </row>
    <row r="455" spans="134:135">
      <c r="ED455" t="s">
        <v>3874</v>
      </c>
      <c r="EE455" t="s">
        <v>3803</v>
      </c>
    </row>
    <row r="456" spans="134:135">
      <c r="ED456" t="s">
        <v>3875</v>
      </c>
      <c r="EE456" t="s">
        <v>3805</v>
      </c>
    </row>
    <row r="457" spans="134:135">
      <c r="ED457" t="s">
        <v>3876</v>
      </c>
      <c r="EE457" t="s">
        <v>3807</v>
      </c>
    </row>
    <row r="458" spans="134:135">
      <c r="ED458" t="s">
        <v>3877</v>
      </c>
      <c r="EE458" t="s">
        <v>3809</v>
      </c>
    </row>
    <row r="459" spans="134:135">
      <c r="ED459" t="s">
        <v>3878</v>
      </c>
      <c r="EE459" t="s">
        <v>3811</v>
      </c>
    </row>
    <row r="460" spans="134:135">
      <c r="ED460" t="s">
        <v>3879</v>
      </c>
      <c r="EE460" t="s">
        <v>3813</v>
      </c>
    </row>
    <row r="461" spans="134:135">
      <c r="ED461" t="s">
        <v>3880</v>
      </c>
      <c r="EE461" t="s">
        <v>3815</v>
      </c>
    </row>
    <row r="462" spans="134:135">
      <c r="ED462" t="s">
        <v>3881</v>
      </c>
      <c r="EE462" t="s">
        <v>3817</v>
      </c>
    </row>
    <row r="463" spans="134:135">
      <c r="ED463" t="s">
        <v>3690</v>
      </c>
      <c r="EE463" t="s">
        <v>3690</v>
      </c>
    </row>
    <row r="464" spans="134:135">
      <c r="ED464" t="s">
        <v>3692</v>
      </c>
      <c r="EE464" t="s">
        <v>3692</v>
      </c>
    </row>
    <row r="465" spans="134:135">
      <c r="ED465" t="s">
        <v>3694</v>
      </c>
      <c r="EE465" t="s">
        <v>3694</v>
      </c>
    </row>
    <row r="466" spans="134:135">
      <c r="ED466" t="s">
        <v>3696</v>
      </c>
      <c r="EE466" t="s">
        <v>3696</v>
      </c>
    </row>
    <row r="467" spans="134:135">
      <c r="ED467" t="s">
        <v>3698</v>
      </c>
      <c r="EE467" t="s">
        <v>3698</v>
      </c>
    </row>
    <row r="468" spans="134:135">
      <c r="ED468" t="s">
        <v>3700</v>
      </c>
      <c r="EE468" t="s">
        <v>3700</v>
      </c>
    </row>
    <row r="469" spans="134:135">
      <c r="ED469" t="s">
        <v>3702</v>
      </c>
      <c r="EE469" t="s">
        <v>3702</v>
      </c>
    </row>
    <row r="470" spans="134:135">
      <c r="ED470" t="s">
        <v>3704</v>
      </c>
      <c r="EE470" t="s">
        <v>3704</v>
      </c>
    </row>
    <row r="471" spans="134:135">
      <c r="ED471" t="s">
        <v>3706</v>
      </c>
      <c r="EE471" t="s">
        <v>3706</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3733</v>
      </c>
    </row>
    <row r="486" spans="134:135">
      <c r="ED486" t="s">
        <v>3735</v>
      </c>
      <c r="EE486" t="s">
        <v>3735</v>
      </c>
    </row>
    <row r="487" spans="134:135">
      <c r="ED487" t="s">
        <v>3737</v>
      </c>
      <c r="EE487" t="s">
        <v>3737</v>
      </c>
    </row>
    <row r="488" spans="134:135">
      <c r="ED488" t="s">
        <v>3739</v>
      </c>
      <c r="EE488" t="s">
        <v>3739</v>
      </c>
    </row>
    <row r="489" spans="134:135">
      <c r="ED489" t="s">
        <v>3741</v>
      </c>
      <c r="EE489" t="s">
        <v>3741</v>
      </c>
    </row>
    <row r="490" spans="134:135">
      <c r="ED490" t="s">
        <v>3743</v>
      </c>
      <c r="EE490" t="s">
        <v>3743</v>
      </c>
    </row>
    <row r="491" spans="134:135">
      <c r="ED491" t="s">
        <v>3745</v>
      </c>
      <c r="EE491" t="s">
        <v>3745</v>
      </c>
    </row>
    <row r="492" spans="134:135">
      <c r="ED492" t="s">
        <v>3747</v>
      </c>
      <c r="EE492" t="s">
        <v>3747</v>
      </c>
    </row>
    <row r="493" spans="134:135">
      <c r="ED493" t="s">
        <v>3749</v>
      </c>
      <c r="EE493" t="s">
        <v>3749</v>
      </c>
    </row>
    <row r="494" spans="134:135">
      <c r="ED494" t="s">
        <v>3751</v>
      </c>
      <c r="EE494" t="s">
        <v>3751</v>
      </c>
    </row>
    <row r="495" spans="134:135">
      <c r="ED495" t="s">
        <v>3753</v>
      </c>
      <c r="EE495" t="s">
        <v>3753</v>
      </c>
    </row>
    <row r="496" spans="134:135">
      <c r="ED496" t="s">
        <v>3755</v>
      </c>
      <c r="EE496" t="s">
        <v>3755</v>
      </c>
    </row>
    <row r="497" spans="124:135">
      <c r="DT497" s="351"/>
      <c r="ED497" t="s">
        <v>3757</v>
      </c>
      <c r="EE497" t="s">
        <v>3757</v>
      </c>
    </row>
    <row r="498" spans="124:135">
      <c r="DT498" s="351"/>
      <c r="ED498" t="s">
        <v>3759</v>
      </c>
      <c r="EE498" t="s">
        <v>3759</v>
      </c>
    </row>
    <row r="499" spans="124:135">
      <c r="DT499" s="351"/>
      <c r="ED499" t="s">
        <v>3761</v>
      </c>
      <c r="EE499" t="s">
        <v>3761</v>
      </c>
    </row>
    <row r="500" spans="124:135">
      <c r="DT500" s="351"/>
      <c r="ED500" t="s">
        <v>3763</v>
      </c>
      <c r="EE500" t="s">
        <v>3763</v>
      </c>
    </row>
    <row r="501" spans="124:135">
      <c r="DT501" s="351"/>
      <c r="ED501" t="s">
        <v>3765</v>
      </c>
      <c r="EE501" t="s">
        <v>3765</v>
      </c>
    </row>
    <row r="502" spans="124:135">
      <c r="DT502" s="351"/>
      <c r="ED502" t="s">
        <v>3767</v>
      </c>
      <c r="EE502" t="s">
        <v>3767</v>
      </c>
    </row>
    <row r="503" spans="124:135">
      <c r="DT503" s="351"/>
      <c r="ED503" t="s">
        <v>3769</v>
      </c>
      <c r="EE503" t="s">
        <v>3769</v>
      </c>
    </row>
    <row r="504" spans="124:135">
      <c r="DT504" s="351"/>
      <c r="ED504" t="s">
        <v>3771</v>
      </c>
      <c r="EE504" t="s">
        <v>3771</v>
      </c>
    </row>
    <row r="505" spans="124:135">
      <c r="DT505" s="286"/>
      <c r="ED505" t="s">
        <v>3773</v>
      </c>
      <c r="EE505" t="s">
        <v>3773</v>
      </c>
    </row>
    <row r="506" spans="124:135">
      <c r="DT506" s="352"/>
      <c r="ED506" t="s">
        <v>3775</v>
      </c>
      <c r="EE506" t="s">
        <v>3775</v>
      </c>
    </row>
    <row r="507" spans="124:135">
      <c r="DT507" s="352"/>
      <c r="ED507" t="s">
        <v>3777</v>
      </c>
      <c r="EE507" t="s">
        <v>3777</v>
      </c>
    </row>
    <row r="508" spans="124:135">
      <c r="DT508" s="352"/>
      <c r="ED508" t="s">
        <v>3779</v>
      </c>
      <c r="EE508" t="s">
        <v>3779</v>
      </c>
    </row>
    <row r="509" spans="124:135">
      <c r="DT509" s="352"/>
      <c r="ED509" t="s">
        <v>3781</v>
      </c>
      <c r="EE509" t="s">
        <v>3781</v>
      </c>
    </row>
    <row r="510" spans="124:135">
      <c r="DT510" s="352"/>
      <c r="ED510" t="s">
        <v>3783</v>
      </c>
      <c r="EE510" t="s">
        <v>3783</v>
      </c>
    </row>
    <row r="511" spans="124:135">
      <c r="DT511" s="352"/>
      <c r="ED511" t="s">
        <v>3785</v>
      </c>
      <c r="EE511" t="s">
        <v>3785</v>
      </c>
    </row>
    <row r="512" spans="124:135">
      <c r="DT512" s="352"/>
      <c r="ED512" t="s">
        <v>3787</v>
      </c>
      <c r="EE512" t="s">
        <v>3787</v>
      </c>
    </row>
    <row r="513" spans="124:135">
      <c r="DT513" s="352"/>
      <c r="ED513" t="s">
        <v>3789</v>
      </c>
      <c r="EE513" t="s">
        <v>3789</v>
      </c>
    </row>
    <row r="514" spans="124:135">
      <c r="DT514" s="352"/>
      <c r="ED514" t="s">
        <v>3791</v>
      </c>
      <c r="EE514" t="s">
        <v>3791</v>
      </c>
    </row>
    <row r="515" spans="124:135">
      <c r="DT515" s="352"/>
      <c r="ED515" t="s">
        <v>3793</v>
      </c>
      <c r="EE515" t="s">
        <v>3793</v>
      </c>
    </row>
    <row r="516" spans="124:135">
      <c r="DT516" s="352"/>
      <c r="ED516" t="s">
        <v>3795</v>
      </c>
      <c r="EE516" t="s">
        <v>3795</v>
      </c>
    </row>
    <row r="517" spans="124:135">
      <c r="DT517" s="352"/>
      <c r="ED517" t="s">
        <v>3797</v>
      </c>
      <c r="EE517" t="s">
        <v>3797</v>
      </c>
    </row>
    <row r="518" spans="124:135">
      <c r="DT518" s="352"/>
      <c r="ED518" t="s">
        <v>3799</v>
      </c>
      <c r="EE518" t="s">
        <v>3799</v>
      </c>
    </row>
    <row r="519" spans="124:135">
      <c r="DT519" s="351"/>
      <c r="DU519" s="351"/>
      <c r="ED519" t="s">
        <v>3801</v>
      </c>
      <c r="EE519" t="s">
        <v>3801</v>
      </c>
    </row>
    <row r="520" spans="124:135">
      <c r="DT520" s="351"/>
      <c r="DU520" s="351"/>
      <c r="ED520" t="s">
        <v>3803</v>
      </c>
      <c r="EE520" t="s">
        <v>3803</v>
      </c>
    </row>
    <row r="521" spans="124:135">
      <c r="DT521" s="351"/>
      <c r="DU521" s="351"/>
      <c r="ED521" t="s">
        <v>3805</v>
      </c>
      <c r="EE521" t="s">
        <v>3805</v>
      </c>
    </row>
    <row r="522" spans="124:135">
      <c r="DT522" s="352"/>
      <c r="DU522" s="352"/>
      <c r="ED522" t="s">
        <v>3807</v>
      </c>
      <c r="EE522" t="s">
        <v>3807</v>
      </c>
    </row>
    <row r="523" spans="124:135">
      <c r="DT523" s="352"/>
      <c r="DU523" s="352"/>
      <c r="ED523" t="s">
        <v>3809</v>
      </c>
      <c r="EE523" t="s">
        <v>3809</v>
      </c>
    </row>
    <row r="524" spans="124:135">
      <c r="DT524" s="352"/>
      <c r="DU524" s="352"/>
      <c r="ED524" t="s">
        <v>3811</v>
      </c>
      <c r="EE524" t="s">
        <v>3811</v>
      </c>
    </row>
    <row r="525" spans="124:135">
      <c r="DT525" s="352"/>
      <c r="DU525" s="352"/>
      <c r="ED525" t="s">
        <v>3813</v>
      </c>
      <c r="EE525" t="s">
        <v>3813</v>
      </c>
    </row>
    <row r="526" spans="124:135">
      <c r="DT526" s="352"/>
      <c r="DU526" s="352"/>
      <c r="ED526" t="s">
        <v>3815</v>
      </c>
      <c r="EE526" t="s">
        <v>3815</v>
      </c>
    </row>
    <row r="527" spans="124:135">
      <c r="DT527" s="352"/>
      <c r="DU527" s="352"/>
      <c r="ED527" t="s">
        <v>3817</v>
      </c>
      <c r="EE527" t="s">
        <v>3817</v>
      </c>
    </row>
    <row r="528" spans="124:135">
      <c r="DT528" s="352"/>
      <c r="DU528" s="352"/>
      <c r="ED528" t="s">
        <v>3882</v>
      </c>
      <c r="EE528" t="s">
        <v>3690</v>
      </c>
    </row>
    <row r="529" spans="124:135">
      <c r="DT529" s="352"/>
      <c r="DU529" s="352"/>
      <c r="ED529" t="s">
        <v>3883</v>
      </c>
      <c r="EE529" t="s">
        <v>3692</v>
      </c>
    </row>
    <row r="530" spans="124:135">
      <c r="DT530" s="352"/>
      <c r="DU530" s="352"/>
      <c r="ED530" t="s">
        <v>3884</v>
      </c>
      <c r="EE530" t="s">
        <v>3694</v>
      </c>
    </row>
    <row r="531" spans="124:135">
      <c r="DT531" s="353"/>
      <c r="DU531" s="353"/>
      <c r="ED531" t="s">
        <v>3885</v>
      </c>
      <c r="EE531" t="s">
        <v>3696</v>
      </c>
    </row>
    <row r="532" spans="124:135">
      <c r="DT532" s="351"/>
      <c r="DU532" s="351"/>
      <c r="ED532" t="s">
        <v>3886</v>
      </c>
      <c r="EE532" t="s">
        <v>3698</v>
      </c>
    </row>
    <row r="533" spans="124:135">
      <c r="DT533" s="351"/>
      <c r="DU533" s="351"/>
      <c r="ED533" t="s">
        <v>3887</v>
      </c>
      <c r="EE533" t="s">
        <v>3700</v>
      </c>
    </row>
    <row r="534" spans="124:135">
      <c r="DT534" s="351"/>
      <c r="ED534" t="s">
        <v>3888</v>
      </c>
      <c r="EE534" t="s">
        <v>3702</v>
      </c>
    </row>
    <row r="535" spans="124:135">
      <c r="DT535" s="351"/>
      <c r="ED535" t="s">
        <v>3889</v>
      </c>
      <c r="EE535" t="s">
        <v>3704</v>
      </c>
    </row>
    <row r="536" spans="124:135">
      <c r="DT536" s="286"/>
      <c r="ED536" t="s">
        <v>3890</v>
      </c>
      <c r="EE536" t="s">
        <v>3706</v>
      </c>
    </row>
    <row r="537" spans="124:135">
      <c r="DT537" s="351"/>
      <c r="DU537" s="351"/>
      <c r="ED537" t="s">
        <v>3891</v>
      </c>
      <c r="EE537" t="s">
        <v>3708</v>
      </c>
    </row>
    <row r="538" spans="124:135">
      <c r="DT538" s="351"/>
      <c r="DU538" s="351"/>
      <c r="ED538" t="s">
        <v>3892</v>
      </c>
      <c r="EE538" t="s">
        <v>3710</v>
      </c>
    </row>
    <row r="539" spans="124:135">
      <c r="DT539" s="351"/>
      <c r="DU539" s="351"/>
      <c r="ED539" t="s">
        <v>3893</v>
      </c>
      <c r="EE539" t="s">
        <v>3712</v>
      </c>
    </row>
    <row r="540" spans="124:135">
      <c r="DT540" s="351"/>
      <c r="DU540" s="351"/>
      <c r="ED540" t="s">
        <v>3894</v>
      </c>
      <c r="EE540" t="s">
        <v>3714</v>
      </c>
    </row>
    <row r="541" spans="124:135">
      <c r="DT541" s="351"/>
      <c r="DU541" s="351"/>
      <c r="ED541" t="s">
        <v>3895</v>
      </c>
      <c r="EE541" t="s">
        <v>3716</v>
      </c>
    </row>
    <row r="542" spans="124:135">
      <c r="DT542" s="352"/>
      <c r="DU542" s="352"/>
      <c r="ED542" t="s">
        <v>3896</v>
      </c>
      <c r="EE542" t="s">
        <v>3718</v>
      </c>
    </row>
    <row r="543" spans="124:135">
      <c r="DT543" s="286"/>
      <c r="DU543" s="286"/>
      <c r="ED543" t="s">
        <v>3897</v>
      </c>
      <c r="EE543" t="s">
        <v>3720</v>
      </c>
    </row>
    <row r="544" spans="124:135">
      <c r="DT544" s="351"/>
      <c r="DU544" s="351"/>
      <c r="ED544" t="s">
        <v>3898</v>
      </c>
      <c r="EE544" t="s">
        <v>3722</v>
      </c>
    </row>
    <row r="545" spans="124:135">
      <c r="DT545" s="351"/>
      <c r="DU545" s="351"/>
      <c r="ED545" t="s">
        <v>3899</v>
      </c>
      <c r="EE545" t="s">
        <v>3724</v>
      </c>
    </row>
    <row r="546" spans="124:135">
      <c r="DT546" s="352"/>
      <c r="DU546" s="352"/>
      <c r="ED546" t="s">
        <v>3900</v>
      </c>
      <c r="EE546" t="s">
        <v>3726</v>
      </c>
    </row>
    <row r="547" spans="124:135">
      <c r="DT547" s="352"/>
      <c r="DU547" s="352"/>
      <c r="ED547" t="s">
        <v>3901</v>
      </c>
      <c r="EE547" t="s">
        <v>3727</v>
      </c>
    </row>
    <row r="548" spans="124:135">
      <c r="DT548" s="286"/>
      <c r="DU548" s="286"/>
      <c r="ED548" t="s">
        <v>3902</v>
      </c>
      <c r="EE548" t="s">
        <v>3729</v>
      </c>
    </row>
    <row r="549" spans="124:135">
      <c r="DT549" s="286"/>
      <c r="DU549" s="286"/>
      <c r="ED549" t="s">
        <v>3903</v>
      </c>
      <c r="EE549" t="s">
        <v>3731</v>
      </c>
    </row>
    <row r="550" spans="124:135">
      <c r="DT550" s="351"/>
      <c r="DU550" s="351"/>
      <c r="ED550" t="s">
        <v>3904</v>
      </c>
      <c r="EE550" t="s">
        <v>3733</v>
      </c>
    </row>
    <row r="551" spans="124:135">
      <c r="DT551" s="351"/>
      <c r="DU551" s="351"/>
      <c r="ED551" t="s">
        <v>3905</v>
      </c>
      <c r="EE551" t="s">
        <v>3735</v>
      </c>
    </row>
    <row r="552" spans="124:135">
      <c r="DT552" s="352"/>
      <c r="DU552" s="351"/>
      <c r="ED552" t="s">
        <v>3906</v>
      </c>
      <c r="EE552" t="s">
        <v>3737</v>
      </c>
    </row>
    <row r="553" spans="124:135">
      <c r="DT553" s="352"/>
      <c r="DU553" s="351"/>
      <c r="ED553" t="s">
        <v>3907</v>
      </c>
      <c r="EE553" t="s">
        <v>3739</v>
      </c>
    </row>
    <row r="554" spans="124:135">
      <c r="DT554" s="286"/>
      <c r="DU554" s="351"/>
      <c r="ED554" t="s">
        <v>3908</v>
      </c>
      <c r="EE554" t="s">
        <v>3741</v>
      </c>
    </row>
    <row r="555" spans="124:135">
      <c r="DT555" s="286"/>
      <c r="DU555" s="351"/>
      <c r="ED555" t="s">
        <v>3909</v>
      </c>
      <c r="EE555" t="s">
        <v>3743</v>
      </c>
    </row>
    <row r="556" spans="124:135">
      <c r="DT556" s="353"/>
      <c r="ED556" t="s">
        <v>3910</v>
      </c>
      <c r="EE556" t="s">
        <v>3745</v>
      </c>
    </row>
    <row r="557" spans="124:135">
      <c r="DT557" s="353"/>
      <c r="ED557" t="s">
        <v>3911</v>
      </c>
      <c r="EE557" t="s">
        <v>3747</v>
      </c>
    </row>
    <row r="558" spans="124:135">
      <c r="DT558" s="353"/>
      <c r="ED558" t="s">
        <v>3912</v>
      </c>
      <c r="EE558" t="s">
        <v>3749</v>
      </c>
    </row>
    <row r="559" spans="124:135">
      <c r="DT559" s="351"/>
      <c r="ED559" t="s">
        <v>3913</v>
      </c>
      <c r="EE559" t="s">
        <v>3751</v>
      </c>
    </row>
    <row r="560" spans="124:135">
      <c r="DT560" s="286"/>
      <c r="ED560" t="s">
        <v>3914</v>
      </c>
      <c r="EE560" t="s">
        <v>3753</v>
      </c>
    </row>
    <row r="561" spans="124:135">
      <c r="DT561" s="351"/>
      <c r="ED561" t="s">
        <v>3915</v>
      </c>
      <c r="EE561" t="s">
        <v>3755</v>
      </c>
    </row>
    <row r="562" spans="124:135">
      <c r="DT562" s="286"/>
      <c r="ED562" t="s">
        <v>3916</v>
      </c>
      <c r="EE562" t="s">
        <v>3757</v>
      </c>
    </row>
    <row r="563" spans="124:135">
      <c r="DT563" s="352"/>
      <c r="DU563" s="351"/>
      <c r="ED563" t="s">
        <v>3917</v>
      </c>
      <c r="EE563" t="s">
        <v>3759</v>
      </c>
    </row>
    <row r="564" spans="124:135">
      <c r="DT564" s="352"/>
      <c r="DU564" s="351"/>
      <c r="ED564" t="s">
        <v>3918</v>
      </c>
      <c r="EE564" t="s">
        <v>3761</v>
      </c>
    </row>
    <row r="565" spans="124:135">
      <c r="DT565" s="286"/>
      <c r="DU565" s="351"/>
      <c r="ED565" t="s">
        <v>3919</v>
      </c>
      <c r="EE565" t="s">
        <v>3763</v>
      </c>
    </row>
    <row r="566" spans="124:135">
      <c r="DT566" s="286"/>
      <c r="DU566" s="351"/>
      <c r="ED566" t="s">
        <v>3920</v>
      </c>
      <c r="EE566" t="s">
        <v>3765</v>
      </c>
    </row>
    <row r="567" spans="124:135">
      <c r="DT567" s="352"/>
      <c r="DU567" s="351"/>
      <c r="ED567" t="s">
        <v>3921</v>
      </c>
      <c r="EE567" t="s">
        <v>3767</v>
      </c>
    </row>
    <row r="568" spans="124:135">
      <c r="DT568" s="352"/>
      <c r="DU568" s="351"/>
      <c r="ED568" t="s">
        <v>3922</v>
      </c>
      <c r="EE568" t="s">
        <v>3769</v>
      </c>
    </row>
    <row r="569" spans="124:135">
      <c r="DT569" s="286"/>
      <c r="DU569" s="351"/>
      <c r="ED569" t="s">
        <v>3923</v>
      </c>
      <c r="EE569" t="s">
        <v>3771</v>
      </c>
    </row>
    <row r="570" spans="124:135">
      <c r="DT570" s="286"/>
      <c r="DU570" s="351"/>
      <c r="ED570" t="s">
        <v>3924</v>
      </c>
      <c r="EE570" t="s">
        <v>3773</v>
      </c>
    </row>
    <row r="571" spans="124:135">
      <c r="DT571" s="352"/>
      <c r="ED571" t="s">
        <v>3925</v>
      </c>
      <c r="EE571" t="s">
        <v>3775</v>
      </c>
    </row>
    <row r="572" spans="124:135">
      <c r="DT572" s="351"/>
      <c r="ED572" t="s">
        <v>3926</v>
      </c>
      <c r="EE572" t="s">
        <v>3777</v>
      </c>
    </row>
    <row r="573" spans="124:135">
      <c r="DT573" s="351"/>
      <c r="ED573" t="s">
        <v>3927</v>
      </c>
      <c r="EE573" t="s">
        <v>3779</v>
      </c>
    </row>
    <row r="574" spans="124:135">
      <c r="DT574" s="351"/>
      <c r="ED574" t="s">
        <v>3928</v>
      </c>
      <c r="EE574" t="s">
        <v>3781</v>
      </c>
    </row>
    <row r="575" spans="124:135">
      <c r="DT575" s="286"/>
      <c r="ED575" t="s">
        <v>3929</v>
      </c>
      <c r="EE575" t="s">
        <v>3783</v>
      </c>
    </row>
    <row r="576" spans="124:135">
      <c r="DT576" s="352"/>
      <c r="ED576" t="s">
        <v>3930</v>
      </c>
      <c r="EE576" t="s">
        <v>3785</v>
      </c>
    </row>
    <row r="577" spans="124:135">
      <c r="DT577" s="351"/>
      <c r="ED577" t="s">
        <v>3931</v>
      </c>
      <c r="EE577" t="s">
        <v>3787</v>
      </c>
    </row>
    <row r="578" spans="124:135">
      <c r="DT578" s="351"/>
      <c r="ED578" t="s">
        <v>3932</v>
      </c>
      <c r="EE578" t="s">
        <v>3789</v>
      </c>
    </row>
    <row r="579" spans="124:135">
      <c r="DT579" s="351"/>
      <c r="ED579" t="s">
        <v>3933</v>
      </c>
      <c r="EE579" t="s">
        <v>3791</v>
      </c>
    </row>
    <row r="580" spans="124:135">
      <c r="DT580" s="286"/>
      <c r="ED580" t="s">
        <v>3934</v>
      </c>
      <c r="EE580" t="s">
        <v>3793</v>
      </c>
    </row>
    <row r="581" spans="124:135">
      <c r="DT581" s="352"/>
      <c r="ED581" t="s">
        <v>3935</v>
      </c>
      <c r="EE581" t="s">
        <v>3795</v>
      </c>
    </row>
    <row r="582" spans="124:135">
      <c r="DT582" s="351"/>
      <c r="ED582" t="s">
        <v>3936</v>
      </c>
      <c r="EE582" t="s">
        <v>3797</v>
      </c>
    </row>
    <row r="583" spans="124:135">
      <c r="DT583" s="351"/>
      <c r="ED583" t="s">
        <v>3937</v>
      </c>
      <c r="EE583" t="s">
        <v>3799</v>
      </c>
    </row>
    <row r="584" spans="124:135">
      <c r="DT584" s="351"/>
      <c r="ED584" t="s">
        <v>3938</v>
      </c>
      <c r="EE584" t="s">
        <v>3801</v>
      </c>
    </row>
    <row r="585" spans="124:135">
      <c r="DT585" s="286"/>
      <c r="ED585" t="s">
        <v>3939</v>
      </c>
      <c r="EE585" t="s">
        <v>3803</v>
      </c>
    </row>
    <row r="586" spans="124:135">
      <c r="DT586" s="352"/>
      <c r="ED586" t="s">
        <v>3940</v>
      </c>
      <c r="EE586" t="s">
        <v>3805</v>
      </c>
    </row>
    <row r="587" spans="124:135">
      <c r="DT587" s="351"/>
      <c r="ED587" t="s">
        <v>3941</v>
      </c>
      <c r="EE587" t="s">
        <v>3807</v>
      </c>
    </row>
    <row r="588" spans="124:135">
      <c r="DT588" s="351"/>
      <c r="ED588" t="s">
        <v>3942</v>
      </c>
      <c r="EE588" t="s">
        <v>3809</v>
      </c>
    </row>
    <row r="589" spans="124:135">
      <c r="DT589" s="351"/>
      <c r="ED589" t="s">
        <v>3943</v>
      </c>
      <c r="EE589" t="s">
        <v>3811</v>
      </c>
    </row>
    <row r="590" spans="124:135">
      <c r="DT590" s="286"/>
      <c r="ED590" t="s">
        <v>3944</v>
      </c>
      <c r="EE590" t="s">
        <v>3813</v>
      </c>
    </row>
    <row r="591" spans="124:135">
      <c r="DT591" s="352"/>
      <c r="ED591" t="s">
        <v>3945</v>
      </c>
      <c r="EE591" t="s">
        <v>3815</v>
      </c>
    </row>
    <row r="592" spans="124:135">
      <c r="DT592" s="352"/>
      <c r="ED592" t="s">
        <v>3946</v>
      </c>
      <c r="EE592" t="s">
        <v>3817</v>
      </c>
    </row>
    <row r="593" spans="124:135">
      <c r="DT593" s="352"/>
      <c r="DV593" s="351"/>
      <c r="DW593" s="352"/>
      <c r="DX593" s="286"/>
      <c r="ED593" t="s">
        <v>3947</v>
      </c>
      <c r="EE593" t="s">
        <v>3690</v>
      </c>
    </row>
    <row r="594" spans="124:135">
      <c r="DT594" s="352"/>
      <c r="DV594" s="351"/>
      <c r="DW594" s="352"/>
      <c r="DX594" s="286"/>
      <c r="ED594" t="s">
        <v>3948</v>
      </c>
      <c r="EE594" t="s">
        <v>3692</v>
      </c>
    </row>
    <row r="595" spans="124:135">
      <c r="DT595" s="351"/>
      <c r="ED595" t="s">
        <v>3949</v>
      </c>
      <c r="EE595" t="s">
        <v>3694</v>
      </c>
    </row>
    <row r="596" spans="124:135">
      <c r="DT596" s="351"/>
      <c r="ED596" t="s">
        <v>3950</v>
      </c>
      <c r="EE596" t="s">
        <v>3696</v>
      </c>
    </row>
    <row r="597" spans="124:135">
      <c r="DT597" s="352"/>
      <c r="ED597" t="s">
        <v>3951</v>
      </c>
      <c r="EE597" t="s">
        <v>3698</v>
      </c>
    </row>
    <row r="598" spans="124:135">
      <c r="DT598" s="352"/>
      <c r="ED598" t="s">
        <v>3952</v>
      </c>
      <c r="EE598" t="s">
        <v>3700</v>
      </c>
    </row>
    <row r="599" spans="124:135">
      <c r="DT599" s="286"/>
      <c r="ED599" t="s">
        <v>3953</v>
      </c>
      <c r="EE599" t="s">
        <v>3702</v>
      </c>
    </row>
    <row r="600" spans="124:135">
      <c r="DT600" s="286"/>
      <c r="ED600" t="s">
        <v>3954</v>
      </c>
      <c r="EE600" t="s">
        <v>3704</v>
      </c>
    </row>
    <row r="601" spans="124:135">
      <c r="DT601" s="352"/>
      <c r="ED601" t="s">
        <v>3955</v>
      </c>
      <c r="EE601" t="s">
        <v>3706</v>
      </c>
    </row>
    <row r="602" spans="124:135">
      <c r="DT602" s="352"/>
      <c r="ED602" t="s">
        <v>3956</v>
      </c>
      <c r="EE602" t="s">
        <v>3708</v>
      </c>
    </row>
    <row r="603" spans="124:135">
      <c r="DT603" s="352"/>
      <c r="ED603" t="s">
        <v>3957</v>
      </c>
      <c r="EE603" t="s">
        <v>3710</v>
      </c>
    </row>
    <row r="604" spans="124:135">
      <c r="DT604" s="352"/>
      <c r="ED604" t="s">
        <v>3958</v>
      </c>
      <c r="EE604" t="s">
        <v>3712</v>
      </c>
    </row>
    <row r="605" spans="124:135">
      <c r="DT605" s="351"/>
      <c r="ED605" t="s">
        <v>3959</v>
      </c>
      <c r="EE605" t="s">
        <v>3714</v>
      </c>
    </row>
    <row r="606" spans="124:135">
      <c r="DT606" s="351"/>
      <c r="ED606" t="s">
        <v>3960</v>
      </c>
      <c r="EE606" t="s">
        <v>3716</v>
      </c>
    </row>
    <row r="607" spans="124:135">
      <c r="DT607" s="352"/>
      <c r="ED607" t="s">
        <v>3961</v>
      </c>
      <c r="EE607" t="s">
        <v>3718</v>
      </c>
    </row>
    <row r="608" spans="124:135">
      <c r="DT608" s="352"/>
      <c r="ED608" t="s">
        <v>3962</v>
      </c>
      <c r="EE608" t="s">
        <v>3720</v>
      </c>
    </row>
    <row r="609" spans="124:135">
      <c r="DT609" s="286"/>
      <c r="ED609" t="s">
        <v>3963</v>
      </c>
      <c r="EE609" t="s">
        <v>3722</v>
      </c>
    </row>
    <row r="610" spans="124:135">
      <c r="DT610" s="286"/>
      <c r="ED610" t="s">
        <v>3964</v>
      </c>
      <c r="EE610" t="s">
        <v>3724</v>
      </c>
    </row>
    <row r="611" spans="124:135">
      <c r="DT611" s="351"/>
      <c r="ED611" t="s">
        <v>3965</v>
      </c>
      <c r="EE611" t="s">
        <v>3726</v>
      </c>
    </row>
    <row r="612" spans="124:135">
      <c r="DT612" s="351"/>
      <c r="ED612" t="s">
        <v>3966</v>
      </c>
      <c r="EE612" t="s">
        <v>3727</v>
      </c>
    </row>
    <row r="613" spans="124:135">
      <c r="DT613" s="351"/>
      <c r="ED613" t="s">
        <v>3967</v>
      </c>
      <c r="EE613" t="s">
        <v>3729</v>
      </c>
    </row>
    <row r="614" spans="124:135">
      <c r="DT614" s="351"/>
      <c r="ED614" t="s">
        <v>3968</v>
      </c>
      <c r="EE614" t="s">
        <v>3731</v>
      </c>
    </row>
    <row r="615" spans="124:135">
      <c r="DT615" s="286"/>
      <c r="ED615" t="s">
        <v>3969</v>
      </c>
      <c r="EE615" t="s">
        <v>3733</v>
      </c>
    </row>
    <row r="616" spans="124:135">
      <c r="DT616" s="351"/>
      <c r="ED616" t="s">
        <v>3970</v>
      </c>
      <c r="EE616" t="s">
        <v>3735</v>
      </c>
    </row>
    <row r="617" spans="124:135">
      <c r="DT617" s="351"/>
      <c r="ED617" t="s">
        <v>3971</v>
      </c>
      <c r="EE617" t="s">
        <v>3737</v>
      </c>
    </row>
    <row r="618" spans="124:135">
      <c r="DT618" s="351"/>
      <c r="ED618" t="s">
        <v>3972</v>
      </c>
      <c r="EE618" t="s">
        <v>3739</v>
      </c>
    </row>
    <row r="619" spans="124:135">
      <c r="DT619" s="351"/>
      <c r="ED619" t="s">
        <v>3973</v>
      </c>
      <c r="EE619" t="s">
        <v>3741</v>
      </c>
    </row>
    <row r="620" spans="124:135">
      <c r="DT620" s="286"/>
      <c r="ED620" t="s">
        <v>3974</v>
      </c>
      <c r="EE620" t="s">
        <v>3743</v>
      </c>
    </row>
    <row r="621" spans="124:135">
      <c r="DT621" s="337"/>
      <c r="ED621" t="s">
        <v>3975</v>
      </c>
      <c r="EE621" t="s">
        <v>3745</v>
      </c>
    </row>
    <row r="622" spans="124:135">
      <c r="DT622" s="337"/>
      <c r="ED622" t="s">
        <v>3976</v>
      </c>
      <c r="EE622" t="s">
        <v>3747</v>
      </c>
    </row>
    <row r="623" spans="124:135">
      <c r="DT623" s="351"/>
      <c r="ED623" t="s">
        <v>3977</v>
      </c>
      <c r="EE623" t="s">
        <v>3749</v>
      </c>
    </row>
    <row r="624" spans="124:135">
      <c r="DT624" s="351"/>
      <c r="ED624" t="s">
        <v>3978</v>
      </c>
      <c r="EE624" t="s">
        <v>3751</v>
      </c>
    </row>
    <row r="625" spans="124:135">
      <c r="DT625" s="334"/>
      <c r="ED625" t="s">
        <v>3979</v>
      </c>
      <c r="EE625" t="s">
        <v>3753</v>
      </c>
    </row>
    <row r="626" spans="124:135">
      <c r="DT626" s="286"/>
      <c r="ED626" t="s">
        <v>3980</v>
      </c>
      <c r="EE626" t="s">
        <v>3755</v>
      </c>
    </row>
    <row r="627" spans="124:135">
      <c r="DT627" s="286"/>
      <c r="ED627" t="s">
        <v>3981</v>
      </c>
      <c r="EE627" t="s">
        <v>3757</v>
      </c>
    </row>
    <row r="628" spans="124:135">
      <c r="DT628" s="286"/>
      <c r="ED628" t="s">
        <v>3982</v>
      </c>
      <c r="EE628" t="s">
        <v>3759</v>
      </c>
    </row>
    <row r="629" spans="124:135">
      <c r="DT629" s="334"/>
      <c r="ED629" t="s">
        <v>3983</v>
      </c>
      <c r="EE629" t="s">
        <v>3761</v>
      </c>
    </row>
    <row r="630" spans="124:135">
      <c r="DT630" s="286"/>
      <c r="ED630" t="s">
        <v>3984</v>
      </c>
      <c r="EE630" t="s">
        <v>3763</v>
      </c>
    </row>
    <row r="631" spans="124:135">
      <c r="DT631" s="351"/>
      <c r="ED631" t="s">
        <v>3985</v>
      </c>
      <c r="EE631" t="s">
        <v>3765</v>
      </c>
    </row>
    <row r="632" spans="124:135">
      <c r="DT632" s="351"/>
      <c r="ED632" t="s">
        <v>3986</v>
      </c>
      <c r="EE632" t="s">
        <v>3767</v>
      </c>
    </row>
    <row r="633" spans="124:135">
      <c r="DT633" s="334"/>
      <c r="ED633" t="s">
        <v>3987</v>
      </c>
      <c r="EE633" t="s">
        <v>3769</v>
      </c>
    </row>
    <row r="634" spans="124:135">
      <c r="DT634" s="351"/>
      <c r="ED634" t="s">
        <v>3988</v>
      </c>
      <c r="EE634" t="s">
        <v>3771</v>
      </c>
    </row>
    <row r="635" spans="124:135">
      <c r="DT635" s="286"/>
      <c r="ED635" t="s">
        <v>3989</v>
      </c>
      <c r="EE635" t="s">
        <v>3773</v>
      </c>
    </row>
    <row r="636" spans="124:135">
      <c r="DT636" s="334"/>
      <c r="DU636" s="286"/>
      <c r="ED636" t="s">
        <v>3990</v>
      </c>
      <c r="EE636" t="s">
        <v>3775</v>
      </c>
    </row>
    <row r="637" spans="124:135">
      <c r="DT637" s="334"/>
      <c r="DU637" s="286"/>
      <c r="ED637" t="s">
        <v>3991</v>
      </c>
      <c r="EE637" t="s">
        <v>3777</v>
      </c>
    </row>
    <row r="638" spans="124:135">
      <c r="DT638" s="334"/>
      <c r="DU638" s="286"/>
      <c r="ED638" t="s">
        <v>3992</v>
      </c>
      <c r="EE638" t="s">
        <v>3779</v>
      </c>
    </row>
    <row r="639" spans="124:135">
      <c r="DT639" s="286"/>
      <c r="DU639" s="286"/>
      <c r="ED639" t="s">
        <v>3993</v>
      </c>
      <c r="EE639" t="s">
        <v>3781</v>
      </c>
    </row>
    <row r="640" spans="124:135">
      <c r="DT640" s="362"/>
      <c r="DU640" s="362"/>
      <c r="ED640" t="s">
        <v>3994</v>
      </c>
      <c r="EE640" t="s">
        <v>3783</v>
      </c>
    </row>
    <row r="641" spans="124:135">
      <c r="DT641" s="330"/>
      <c r="DU641" s="362"/>
      <c r="ED641" t="s">
        <v>3995</v>
      </c>
      <c r="EE641" t="s">
        <v>3785</v>
      </c>
    </row>
    <row r="642" spans="124:135">
      <c r="DT642" s="338"/>
      <c r="DU642" s="338"/>
      <c r="DX642" s="365"/>
      <c r="ED642" t="s">
        <v>3996</v>
      </c>
      <c r="EE642" t="s">
        <v>3787</v>
      </c>
    </row>
    <row r="643" spans="124:135">
      <c r="DT643" s="338"/>
      <c r="DU643" s="338"/>
      <c r="DX643" s="338"/>
      <c r="ED643" t="s">
        <v>3997</v>
      </c>
      <c r="EE643" t="s">
        <v>3789</v>
      </c>
    </row>
    <row r="644" spans="124:135">
      <c r="DT644" s="338"/>
      <c r="DU644" s="338"/>
      <c r="DX644" s="374"/>
      <c r="ED644" t="s">
        <v>3998</v>
      </c>
      <c r="EE644" t="s">
        <v>3791</v>
      </c>
    </row>
    <row r="645" spans="124:135">
      <c r="DT645" s="338"/>
      <c r="DU645" s="338"/>
      <c r="DX645" s="338"/>
      <c r="ED645" t="s">
        <v>3999</v>
      </c>
      <c r="EE645" t="s">
        <v>3793</v>
      </c>
    </row>
    <row r="646" spans="124:135">
      <c r="DT646" s="338"/>
      <c r="DU646" s="338"/>
      <c r="ED646" t="s">
        <v>4000</v>
      </c>
      <c r="EE646" t="s">
        <v>3795</v>
      </c>
    </row>
    <row r="647" spans="124:135">
      <c r="DT647" s="338"/>
      <c r="DU647" s="338"/>
      <c r="ED647" t="s">
        <v>4001</v>
      </c>
      <c r="EE647" t="s">
        <v>3797</v>
      </c>
    </row>
    <row r="648" spans="124:135">
      <c r="DT648" s="338"/>
      <c r="DU648" s="338"/>
      <c r="ED648" t="s">
        <v>4002</v>
      </c>
      <c r="EE648" t="s">
        <v>3799</v>
      </c>
    </row>
    <row r="649" spans="124:135">
      <c r="DT649" s="338"/>
      <c r="DU649" s="338"/>
      <c r="ED649" t="s">
        <v>4003</v>
      </c>
      <c r="EE649" t="s">
        <v>3801</v>
      </c>
    </row>
    <row r="650" spans="124:135">
      <c r="DT650" s="338"/>
      <c r="DU650" s="338"/>
      <c r="ED650" t="s">
        <v>4004</v>
      </c>
      <c r="EE650" t="s">
        <v>3803</v>
      </c>
    </row>
    <row r="651" spans="124:135">
      <c r="DT651" s="338"/>
      <c r="DU651" s="338"/>
      <c r="ED651" t="s">
        <v>4005</v>
      </c>
      <c r="EE651" t="s">
        <v>3805</v>
      </c>
    </row>
    <row r="652" spans="124:135">
      <c r="DT652" s="338"/>
      <c r="DU652" s="338"/>
      <c r="ED652" t="s">
        <v>4006</v>
      </c>
      <c r="EE652" t="s">
        <v>3807</v>
      </c>
    </row>
    <row r="653" spans="124:135">
      <c r="DT653" s="338"/>
      <c r="DU653" s="338"/>
      <c r="ED653" t="s">
        <v>4007</v>
      </c>
      <c r="EE653" t="s">
        <v>3809</v>
      </c>
    </row>
    <row r="654" spans="124:135">
      <c r="DT654" s="338"/>
      <c r="DU654" s="338"/>
      <c r="ED654" t="s">
        <v>4008</v>
      </c>
      <c r="EE654" t="s">
        <v>3811</v>
      </c>
    </row>
    <row r="655" spans="124:135">
      <c r="DT655" s="338"/>
      <c r="DU655" s="338"/>
      <c r="ED655" t="s">
        <v>4009</v>
      </c>
      <c r="EE655" t="s">
        <v>3813</v>
      </c>
    </row>
    <row r="656" spans="124:135">
      <c r="DT656" s="338"/>
      <c r="DU656" s="338"/>
      <c r="ED656" t="s">
        <v>4010</v>
      </c>
      <c r="EE656" t="s">
        <v>3815</v>
      </c>
    </row>
    <row r="657" spans="124:135">
      <c r="DT657" s="338"/>
      <c r="DU657" s="338"/>
      <c r="ED657" t="s">
        <v>4011</v>
      </c>
      <c r="EE657" t="s">
        <v>3817</v>
      </c>
    </row>
    <row r="658" spans="124:135">
      <c r="DT658" s="338"/>
      <c r="DU658" s="365"/>
    </row>
    <row r="659" spans="124:135">
      <c r="DT659" s="338"/>
      <c r="DU659" s="365"/>
    </row>
    <row r="660" spans="124:135">
      <c r="DT660" s="338"/>
      <c r="DU660" s="365"/>
    </row>
    <row r="661" spans="124:135">
      <c r="DT661" s="338"/>
      <c r="DU661" s="365"/>
    </row>
    <row r="662" spans="124:135">
      <c r="DT662" s="366"/>
      <c r="DU662" s="365"/>
    </row>
    <row r="663" spans="124:135">
      <c r="DT663" s="366"/>
      <c r="DU663" s="365"/>
    </row>
    <row r="664" spans="124:135">
      <c r="DT664" s="366"/>
      <c r="DU664" s="365"/>
    </row>
    <row r="665" spans="124:135">
      <c r="DT665" s="366"/>
      <c r="DU665" s="365"/>
    </row>
    <row r="666" spans="124:135">
      <c r="DT666" s="168"/>
      <c r="DU666" s="365"/>
    </row>
    <row r="667" spans="124:135">
      <c r="DT667" s="168"/>
      <c r="DU667" s="365"/>
    </row>
    <row r="668" spans="124:135">
      <c r="DT668" s="168"/>
      <c r="DU668" s="365"/>
    </row>
    <row r="669" spans="124:135">
      <c r="DT669" s="168"/>
      <c r="DU669" s="365"/>
    </row>
    <row r="670" spans="124:135">
      <c r="DT670" s="365"/>
      <c r="DU670" s="365"/>
    </row>
    <row r="671" spans="124:135">
      <c r="DT671" s="365"/>
      <c r="DU671" s="365"/>
    </row>
    <row r="672" spans="124:135">
      <c r="DT672" s="365"/>
      <c r="DU672" s="365"/>
    </row>
    <row r="673" spans="124:125">
      <c r="DT673" s="365"/>
      <c r="DU673" s="365"/>
    </row>
  </sheetData>
  <conditionalFormatting sqref="A3:A15">
    <cfRule type="expression" dxfId="537"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536" priority="3" stopIfTrue="1">
      <formula>AND(COUNTIF($A$37:$A$41, A17)+COUNTIF($A$3:$A$15, A17)+COUNTIF($A$17:$A$31, A17)+COUNTIF($A$33:$A$35, A17)+COUNTIF($A$43:$A$47, A17)+COUNTIF($A$49:$A$54, A17)+COUNTIF($A$56:$A$99, A17)&gt;1,NOT(ISBLANK(A17)))</formula>
    </cfRule>
  </conditionalFormatting>
  <conditionalFormatting sqref="A34 A54 A56 A62:A65">
    <cfRule type="expression" dxfId="535" priority="2" stopIfTrue="1">
      <formula>AND(COUNTIF($A$54:$A$54, A34)+COUNTIF($A$56:$A$59, A34)+COUNTIF($A$34:$A$34, A34)&gt;1,NOT(ISBLANK(A34)))</formula>
    </cfRule>
  </conditionalFormatting>
  <conditionalFormatting sqref="A72:A99 DW346:DW347">
    <cfRule type="expression" dxfId="534" priority="635" stopIfTrue="1">
      <formula>AND(COUNTIF($A$38:$A$42, A72)+COUNTIF($A$3:$A$15, A72)+COUNTIF($A$17:$A$31, A72)+COUNTIF($A$34:$A$36, A72)+COUNTIF($A$44:$A$48, A72)+COUNTIF($A$50:$A$55, A72)+COUNTIF($A$57:$A$99, A72)&gt;1,NOT(ISBLANK(A72)))</formula>
    </cfRule>
  </conditionalFormatting>
  <conditionalFormatting sqref="F14:F19">
    <cfRule type="duplicateValues" dxfId="533" priority="17"/>
  </conditionalFormatting>
  <conditionalFormatting sqref="P2:P61 P63:P65536">
    <cfRule type="expression" dxfId="532" priority="33" stopIfTrue="1">
      <formula>AND(COUNTIF($P$63:$P$65536, P2)+COUNTIF($P$2:$P$61, P2)&gt;1,NOT(ISBLANK(P2)))</formula>
    </cfRule>
  </conditionalFormatting>
  <conditionalFormatting sqref="Q2 Q4 Q6:Q12 Q15:Q20 Q22:Q23 Q26:Q54 S27:S30 Q68:Q65536">
    <cfRule type="expression" dxfId="531" priority="43" stopIfTrue="1">
      <formula>AND(COUNTIF($Q$68:$Q$65536, Q2)+COUNTIF($Q$2:$Q$2, Q2)+COUNTIF($Q$4:$Q$4, Q2)+COUNTIF($Q$6:$Q$54, Q2)&gt;1,NOT(ISBLANK(Q2)))</formula>
    </cfRule>
  </conditionalFormatting>
  <conditionalFormatting sqref="R4:R6">
    <cfRule type="duplicateValues" dxfId="530" priority="28"/>
  </conditionalFormatting>
  <conditionalFormatting sqref="R7 R9">
    <cfRule type="duplicateValues" dxfId="529" priority="40"/>
  </conditionalFormatting>
  <conditionalFormatting sqref="R10">
    <cfRule type="duplicateValues" dxfId="528" priority="27"/>
  </conditionalFormatting>
  <conditionalFormatting sqref="R11:R18 R29:R33">
    <cfRule type="duplicateValues" dxfId="527" priority="42"/>
  </conditionalFormatting>
  <conditionalFormatting sqref="R19:R20 R37:R39 R34">
    <cfRule type="duplicateValues" dxfId="526" priority="36"/>
  </conditionalFormatting>
  <conditionalFormatting sqref="R21:R23">
    <cfRule type="duplicateValues" dxfId="525" priority="26"/>
  </conditionalFormatting>
  <conditionalFormatting sqref="R49:R55">
    <cfRule type="duplicateValues" dxfId="524" priority="29"/>
  </conditionalFormatting>
  <conditionalFormatting sqref="R49:R61 R2 R63:R65536">
    <cfRule type="expression" dxfId="523" priority="32" stopIfTrue="1">
      <formula>AND(COUNTIF($R$2:$R$2, R2)+COUNTIF($R$63:$R$65536, R2)+COUNTIF($R$49:$R$61, R2)&gt;1,NOT(ISBLANK(R2)))</formula>
    </cfRule>
  </conditionalFormatting>
  <conditionalFormatting sqref="R56:R57">
    <cfRule type="duplicateValues" dxfId="522" priority="30"/>
  </conditionalFormatting>
  <conditionalFormatting sqref="R58:R61 R63">
    <cfRule type="expression" dxfId="521" priority="34" stopIfTrue="1">
      <formula>AND(COUNTIF($R$63:$R$63, R58)+COUNTIF($R$58:$R$61, R58)&gt;1,NOT(ISBLANK(R58)))</formula>
    </cfRule>
  </conditionalFormatting>
  <conditionalFormatting sqref="S4">
    <cfRule type="duplicateValues" dxfId="520" priority="25"/>
  </conditionalFormatting>
  <conditionalFormatting sqref="S6:S8 S10">
    <cfRule type="duplicateValues" dxfId="519" priority="47"/>
  </conditionalFormatting>
  <conditionalFormatting sqref="S12:S17">
    <cfRule type="duplicateValues" dxfId="518" priority="24"/>
  </conditionalFormatting>
  <conditionalFormatting sqref="S18:S19">
    <cfRule type="duplicateValues" dxfId="517" priority="23"/>
  </conditionalFormatting>
  <conditionalFormatting sqref="S20:S26">
    <cfRule type="duplicateValues" dxfId="516" priority="41"/>
  </conditionalFormatting>
  <conditionalFormatting sqref="S31:S52">
    <cfRule type="duplicateValues" dxfId="515" priority="46"/>
  </conditionalFormatting>
  <conditionalFormatting sqref="T4">
    <cfRule type="duplicateValues" dxfId="514" priority="22"/>
  </conditionalFormatting>
  <conditionalFormatting sqref="U4:U6">
    <cfRule type="duplicateValues" dxfId="513" priority="21"/>
  </conditionalFormatting>
  <conditionalFormatting sqref="U7:U14 U26:U30">
    <cfRule type="duplicateValues" dxfId="512" priority="44"/>
  </conditionalFormatting>
  <conditionalFormatting sqref="U15:U16 U31:U32">
    <cfRule type="duplicateValues" dxfId="511" priority="37"/>
  </conditionalFormatting>
  <conditionalFormatting sqref="U17:U19">
    <cfRule type="duplicateValues" dxfId="510" priority="20"/>
  </conditionalFormatting>
  <conditionalFormatting sqref="V4:V6">
    <cfRule type="duplicateValues" dxfId="509" priority="19"/>
  </conditionalFormatting>
  <conditionalFormatting sqref="V17:V19">
    <cfRule type="duplicateValues" dxfId="508" priority="18"/>
  </conditionalFormatting>
  <conditionalFormatting sqref="V21:V30 V7:V14">
    <cfRule type="duplicateValues" dxfId="507" priority="45"/>
  </conditionalFormatting>
  <conditionalFormatting sqref="V31:V32 V15:V16">
    <cfRule type="duplicateValues" dxfId="506" priority="38"/>
  </conditionalFormatting>
  <conditionalFormatting sqref="AC4:AC13 AC15:AC23 AC29:AC34 AC40:AC41 AC43:AC45 AC50:AC53 AC60:AC63">
    <cfRule type="cellIs" dxfId="505" priority="31" operator="equal">
      <formula>1</formula>
    </cfRule>
  </conditionalFormatting>
  <conditionalFormatting sqref="BQ9:BQ10">
    <cfRule type="duplicateValues" dxfId="504" priority="15"/>
  </conditionalFormatting>
  <conditionalFormatting sqref="BQ2:BR2">
    <cfRule type="duplicateValues" dxfId="503" priority="16"/>
  </conditionalFormatting>
  <conditionalFormatting sqref="DT2:DT44">
    <cfRule type="duplicateValues" dxfId="500" priority="9"/>
  </conditionalFormatting>
  <conditionalFormatting sqref="DT2:DT570">
    <cfRule type="duplicateValues" dxfId="499" priority="4"/>
  </conditionalFormatting>
  <conditionalFormatting sqref="DT45:DT87">
    <cfRule type="duplicateValues" dxfId="498" priority="7"/>
  </conditionalFormatting>
  <conditionalFormatting sqref="DT88:DT130">
    <cfRule type="duplicateValues" dxfId="497" priority="8"/>
  </conditionalFormatting>
  <conditionalFormatting sqref="DT131:DT173">
    <cfRule type="duplicateValues" dxfId="496" priority="10"/>
  </conditionalFormatting>
  <conditionalFormatting sqref="DT174:DT217">
    <cfRule type="duplicateValues" dxfId="495" priority="11"/>
  </conditionalFormatting>
  <conditionalFormatting sqref="DT257:DT287">
    <cfRule type="duplicateValues" dxfId="494" priority="14"/>
  </conditionalFormatting>
  <conditionalFormatting sqref="DU257:DU286">
    <cfRule type="duplicateValues" dxfId="493" priority="13"/>
  </conditionalFormatting>
  <conditionalFormatting sqref="DU287">
    <cfRule type="duplicateValues" dxfId="492"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28B98973-0A3C-4820-8F9B-6BB1BE5DC7E1}">
            <xm:f>OR(Ram_3!$AU$10=1,Ram_3!$AU$10=3)</xm:f>
            <x14:dxf>
              <fill>
                <patternFill patternType="darkDown"/>
              </fill>
            </x14:dxf>
          </x14:cfRule>
          <xm:sqref>CH13</xm:sqref>
        </x14:conditionalFormatting>
        <x14:conditionalFormatting xmlns:xm="http://schemas.microsoft.com/office/excel/2006/main">
          <x14:cfRule type="expression" priority="6" id="{77E6CA1E-5B4B-4B8F-9196-FC9385E7FC28}">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293" customWidth="1"/>
    <col min="2" max="2" width="5.5703125" style="293" customWidth="1"/>
    <col min="3" max="3" width="5.5703125" style="264" customWidth="1"/>
    <col min="4" max="4" width="14.85546875" style="264" customWidth="1"/>
    <col min="5" max="5" width="5.5703125" style="264" customWidth="1"/>
    <col min="6" max="6" width="8.7109375" style="264" customWidth="1"/>
    <col min="7" max="7" width="5.5703125" style="264" customWidth="1"/>
    <col min="8" max="8" width="6" style="264" customWidth="1"/>
    <col min="9" max="9" width="6.28515625" style="264" customWidth="1"/>
    <col min="10" max="12" width="6" style="264" customWidth="1"/>
    <col min="13" max="13" width="6.28515625" style="264" customWidth="1"/>
    <col min="14" max="16" width="6" style="264" customWidth="1"/>
    <col min="17" max="17" width="6.28515625"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65" width="0" style="264" hidden="1" customWidth="1"/>
    <col min="6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31" t="str">
        <f>'Translate&amp;Prices&amp;Logo'!$B$169&amp;" "&amp;" "&amp;4</f>
        <v>Frame  4</v>
      </c>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373"/>
      <c r="AL2" s="373"/>
      <c r="AM2" s="373"/>
      <c r="AN2" s="373"/>
      <c r="AO2" s="373"/>
      <c r="AP2" s="597" t="str">
        <f>'Translate&amp;Prices&amp;Logo'!$B$540</f>
        <v>Main page</v>
      </c>
      <c r="AQ2" s="598"/>
      <c r="AR2" s="598"/>
      <c r="AS2" s="598"/>
      <c r="AW2" s="264" t="e">
        <f>VLOOKUP(H8,'Translate&amp;Prices&amp;Logo'!B77:D82,3,0)</f>
        <v>#N/A</v>
      </c>
      <c r="AX2" s="292" t="e">
        <f>VLOOKUP(AW2,'Translate&amp;Prices&amp;Logo'!B6:D60,2,0)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31"/>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1"/>
      <c r="AG3" s="531"/>
      <c r="AH3" s="531"/>
      <c r="AI3" s="531"/>
      <c r="AJ3" s="531"/>
      <c r="AK3" s="373"/>
      <c r="AL3" s="373"/>
      <c r="AM3" s="373"/>
      <c r="AN3" s="373"/>
      <c r="AO3" s="373"/>
      <c r="AP3" s="597"/>
      <c r="AQ3" s="598"/>
      <c r="AR3" s="598"/>
      <c r="AS3" s="598"/>
      <c r="AX3" s="292" t="e">
        <f>VLOOKUP(AW2,'Translate&amp;Prices&amp;Logo'!B:D,3,0)</f>
        <v>#N/A</v>
      </c>
      <c r="AY3" s="293" t="e">
        <f>AT9+AX3</f>
        <v>#N/A</v>
      </c>
      <c r="AZ3" s="294"/>
      <c r="BA3" s="293"/>
      <c r="BB3" s="292"/>
      <c r="BC3" s="292"/>
      <c r="BD3" s="596">
        <f>(AI30/1000)*H11</f>
        <v>0</v>
      </c>
      <c r="BE3" s="596"/>
      <c r="BF3" s="596"/>
      <c r="BG3" s="596"/>
      <c r="BH3" s="596"/>
      <c r="BI3" s="596">
        <f>(AR14/1000)*M11</f>
        <v>0</v>
      </c>
      <c r="BJ3" s="596"/>
      <c r="BK3" s="596"/>
      <c r="BL3" s="596"/>
      <c r="BM3" s="596"/>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11" t="str">
        <f>IFERROR(IF(kombinace_4!FC2=TRUE,'Translate&amp;Prices&amp;Logo'!B654,IF(VLOOKUP(H8,kombinace_4!$A:$E,5,0)=3,'Translate&amp;Prices&amp;Logo'!B642,"")), "")</f>
        <v/>
      </c>
      <c r="AC4" s="611"/>
      <c r="AD4" s="611"/>
      <c r="AE4" s="611"/>
      <c r="AF4" s="611"/>
      <c r="AG4" s="611"/>
      <c r="AH4" s="611"/>
      <c r="AI4" s="611"/>
      <c r="AJ4" s="611"/>
      <c r="AK4" s="611"/>
      <c r="AL4" s="611"/>
      <c r="AM4" s="611"/>
      <c r="AN4" s="611"/>
      <c r="AO4" s="74"/>
      <c r="AP4" s="74"/>
      <c r="AQ4" s="74"/>
      <c r="AR4" s="74"/>
      <c r="AS4" s="256"/>
      <c r="AT4" s="295"/>
      <c r="AU4" s="296"/>
      <c r="AV4" s="296"/>
    </row>
    <row r="5" spans="1:65" ht="34.5" customHeight="1" thickBot="1">
      <c r="A5" s="74"/>
      <c r="B5" s="610" t="str">
        <f>'Translate&amp;Prices&amp;Logo'!$B$169&amp;" "&amp;" "&amp;1</f>
        <v>Frame  1</v>
      </c>
      <c r="C5" s="610"/>
      <c r="D5" s="610"/>
      <c r="E5" s="257"/>
      <c r="F5" s="610" t="str">
        <f>'Translate&amp;Prices&amp;Logo'!$B$169&amp;" "&amp;" "&amp;2</f>
        <v>Frame  2</v>
      </c>
      <c r="G5" s="610"/>
      <c r="H5" s="610"/>
      <c r="I5" s="74"/>
      <c r="J5" s="610" t="str">
        <f>'Translate&amp;Prices&amp;Logo'!$B$169&amp;" "&amp;" "&amp;3</f>
        <v>Frame  3</v>
      </c>
      <c r="K5" s="610"/>
      <c r="L5" s="610"/>
      <c r="M5" s="74"/>
      <c r="N5" s="610" t="str">
        <f>'Translate&amp;Prices&amp;Logo'!$B$169&amp;" "&amp;" "&amp;4</f>
        <v>Frame  4</v>
      </c>
      <c r="O5" s="610"/>
      <c r="P5" s="610"/>
      <c r="Q5" s="74"/>
      <c r="R5" s="610" t="str">
        <f>'Translate&amp;Prices&amp;Logo'!$B$169&amp;" "&amp;" "&amp;5</f>
        <v>Frame  5</v>
      </c>
      <c r="S5" s="610"/>
      <c r="T5" s="610"/>
      <c r="U5" s="74"/>
      <c r="V5" s="610" t="str">
        <f>'Translate&amp;Prices&amp;Logo'!$B$169&amp;" "&amp;" "&amp;6</f>
        <v>Frame  6</v>
      </c>
      <c r="W5" s="610"/>
      <c r="X5" s="610"/>
      <c r="Y5" s="74"/>
      <c r="Z5" s="74"/>
      <c r="AA5" s="74"/>
      <c r="AB5" s="612"/>
      <c r="AC5" s="612"/>
      <c r="AD5" s="612"/>
      <c r="AE5" s="612"/>
      <c r="AF5" s="612"/>
      <c r="AG5" s="612"/>
      <c r="AH5" s="612"/>
      <c r="AI5" s="612"/>
      <c r="AJ5" s="612"/>
      <c r="AK5" s="612"/>
      <c r="AL5" s="612"/>
      <c r="AM5" s="612"/>
      <c r="AN5" s="612"/>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13" t="str">
        <f>'Translate&amp;Prices&amp;Logo'!$B$542</f>
        <v>Combination of 2 Profiles</v>
      </c>
      <c r="C7" s="614"/>
      <c r="D7" s="614"/>
      <c r="E7" s="614"/>
      <c r="F7" s="614"/>
      <c r="G7" s="651" t="str">
        <f>IF(kombinace_4!FC2=TRUE,AB4,"")</f>
        <v/>
      </c>
      <c r="H7" s="651"/>
      <c r="I7" s="651"/>
      <c r="J7" s="651"/>
      <c r="K7" s="651"/>
      <c r="L7" s="651"/>
      <c r="M7" s="651"/>
      <c r="N7" s="651"/>
      <c r="O7" s="651"/>
      <c r="P7" s="651"/>
      <c r="Q7" s="652"/>
      <c r="R7" s="384"/>
      <c r="S7" s="618" t="str">
        <f>'Translate&amp;Prices&amp;Logo'!$B$572</f>
        <v>Warning:</v>
      </c>
      <c r="T7" s="618"/>
      <c r="U7" s="618"/>
      <c r="V7" s="74"/>
      <c r="W7" s="74"/>
      <c r="X7" s="74"/>
      <c r="Y7" s="74"/>
      <c r="Z7" s="231"/>
      <c r="AA7" s="219"/>
      <c r="AB7" s="220"/>
      <c r="AC7" s="221"/>
      <c r="AD7" s="221"/>
      <c r="AE7" s="221"/>
      <c r="AF7" s="221"/>
      <c r="AG7" s="222"/>
      <c r="AH7" s="222"/>
      <c r="AI7" s="223"/>
      <c r="AJ7" s="617">
        <v>0</v>
      </c>
      <c r="AK7" s="221"/>
      <c r="AL7" s="221"/>
      <c r="AM7" s="221"/>
      <c r="AN7" s="221"/>
      <c r="AO7" s="224"/>
      <c r="AP7" s="225"/>
      <c r="AQ7" s="468"/>
      <c r="AR7" s="74"/>
      <c r="AS7" s="74"/>
      <c r="AT7" s="292"/>
      <c r="AU7" s="299">
        <f>VLOOKUP(H8,kombinace_4!$A:$B,2,0)</f>
        <v>2</v>
      </c>
      <c r="AV7" s="293" t="str">
        <f>IF(AU7=2,"Široký",IF(AU7=1,"Úzký",IF(AU7=3,"kombo")))</f>
        <v>Široký</v>
      </c>
    </row>
    <row r="8" spans="1:65" ht="45.6" customHeight="1">
      <c r="A8" s="212"/>
      <c r="B8" s="376" t="str">
        <f>'Translate&amp;Prices&amp;Logo'!$B$653</f>
        <v>Mesh frame filler</v>
      </c>
      <c r="C8" s="377"/>
      <c r="D8" s="377"/>
      <c r="E8" s="378" t="str">
        <f>'Translate&amp;Prices&amp;Logo'!$B$172</f>
        <v>Type of profile</v>
      </c>
      <c r="F8" s="378"/>
      <c r="G8" s="383"/>
      <c r="H8" s="619"/>
      <c r="I8" s="619"/>
      <c r="J8" s="619"/>
      <c r="K8" s="619"/>
      <c r="L8" s="619"/>
      <c r="M8" s="619"/>
      <c r="N8" s="619"/>
      <c r="O8" s="619"/>
      <c r="P8" s="619"/>
      <c r="Q8" s="620"/>
      <c r="R8" s="385"/>
      <c r="S8" s="633">
        <f>IF(AU10&gt;0,'Translate&amp;Prices&amp;Logo'!B303,IF(H8=kombinace_4!A54,'Translate&amp;Prices&amp;Logo'!B580,0))</f>
        <v>0</v>
      </c>
      <c r="T8" s="634"/>
      <c r="U8" s="634"/>
      <c r="V8" s="634"/>
      <c r="W8" s="634"/>
      <c r="X8" s="634"/>
      <c r="Y8" s="635"/>
      <c r="Z8" s="231"/>
      <c r="AA8" s="227"/>
      <c r="AB8" s="74"/>
      <c r="AC8" s="616" t="str">
        <f>'Translate&amp;Prices&amp;Logo'!$B$242</f>
        <v>Distance from edge</v>
      </c>
      <c r="AD8" s="616"/>
      <c r="AE8" s="616"/>
      <c r="AF8" s="616"/>
      <c r="AG8" s="616"/>
      <c r="AH8" s="74"/>
      <c r="AI8" s="211"/>
      <c r="AJ8" s="617"/>
      <c r="AK8" s="74"/>
      <c r="AL8" s="74"/>
      <c r="AM8" s="74"/>
      <c r="AN8" s="74"/>
      <c r="AO8" s="74"/>
      <c r="AP8" s="227"/>
      <c r="AQ8" s="468"/>
      <c r="AR8" s="74"/>
      <c r="AS8" s="74"/>
      <c r="AT8" s="292" t="e">
        <f>VLOOKUP(VLOOKUP(H8,'Translate&amp;Prices&amp;Logo'!B77:C82,2,0),'Translate&amp;Prices&amp;Logo'!B6:C60,2,0)</f>
        <v>#N/A</v>
      </c>
      <c r="AU8" s="293"/>
      <c r="AV8" s="293"/>
    </row>
    <row r="9" spans="1:65" ht="15.6" customHeight="1">
      <c r="A9" s="212"/>
      <c r="B9" s="624">
        <f>IFERROR(IF(AND(VLOOKUP(H8,kombinace_4!$A:$D,4,0)=1,kombinace_4!FC2=FALSE),'Translate&amp;Prices&amp;Logo'!$B$543,0),0)</f>
        <v>0</v>
      </c>
      <c r="C9" s="625"/>
      <c r="D9" s="625"/>
      <c r="E9" s="625"/>
      <c r="F9" s="625"/>
      <c r="G9" s="249"/>
      <c r="H9" s="605"/>
      <c r="I9" s="605"/>
      <c r="J9" s="605"/>
      <c r="K9" s="605"/>
      <c r="L9" s="605"/>
      <c r="M9" s="605"/>
      <c r="N9" s="605"/>
      <c r="O9" s="605"/>
      <c r="P9" s="605"/>
      <c r="Q9" s="606"/>
      <c r="R9" s="74"/>
      <c r="S9" s="627"/>
      <c r="T9" s="628"/>
      <c r="U9" s="628"/>
      <c r="V9" s="628"/>
      <c r="W9" s="628"/>
      <c r="X9" s="628"/>
      <c r="Y9" s="629"/>
      <c r="Z9" s="231"/>
      <c r="AA9" s="228"/>
      <c r="AB9" s="74"/>
      <c r="AC9" s="621">
        <v>0</v>
      </c>
      <c r="AD9" s="621"/>
      <c r="AE9" s="226"/>
      <c r="AF9" s="615" t="str">
        <f>('Translate&amp;Prices&amp;Logo'!$B$548)&amp;" "&amp;H26&amp;" "&amp;"mm"</f>
        <v>Pitch  mm</v>
      </c>
      <c r="AG9" s="615"/>
      <c r="AH9" s="615"/>
      <c r="AI9" s="615"/>
      <c r="AJ9" s="615"/>
      <c r="AK9" s="615"/>
      <c r="AL9" s="74"/>
      <c r="AM9" s="74"/>
      <c r="AN9" s="74"/>
      <c r="AO9" s="74"/>
      <c r="AP9" s="228"/>
      <c r="AQ9" s="468"/>
      <c r="AR9" s="74"/>
      <c r="AS9" s="74"/>
      <c r="AT9" s="292" t="e">
        <f>VLOOKUP(VLOOKUP(H8,'Translate&amp;Prices&amp;Logo'!B77:C82,2,0),'Translate&amp;Prices&amp;Logo'!B6:D60,3,0)</f>
        <v>#N/A</v>
      </c>
      <c r="AU9" s="299" t="str">
        <f>IFERROR((VLOOKUP(H12,kombinace_4!$DP$2:$DQ$3,2,0)),"")</f>
        <v/>
      </c>
      <c r="AV9" s="293"/>
    </row>
    <row r="10" spans="1:65" ht="18" customHeight="1">
      <c r="A10" s="212"/>
      <c r="B10" s="258"/>
      <c r="C10" s="250"/>
      <c r="D10" s="250"/>
      <c r="E10" s="250"/>
      <c r="F10" s="250"/>
      <c r="G10" s="250"/>
      <c r="H10" s="603"/>
      <c r="I10" s="603"/>
      <c r="J10" s="603"/>
      <c r="K10" s="603"/>
      <c r="L10" s="609"/>
      <c r="M10" s="603"/>
      <c r="N10" s="603"/>
      <c r="O10" s="603"/>
      <c r="P10" s="603"/>
      <c r="Q10" s="604"/>
      <c r="R10" s="212"/>
      <c r="S10" s="627">
        <f>IF(AU10&gt;0,'Translate&amp;Prices&amp;Logo'!B571,0)</f>
        <v>0</v>
      </c>
      <c r="T10" s="628"/>
      <c r="U10" s="628"/>
      <c r="V10" s="628"/>
      <c r="W10" s="628"/>
      <c r="X10" s="628"/>
      <c r="Y10" s="629"/>
      <c r="Z10" s="231"/>
      <c r="AA10" s="228"/>
      <c r="AB10" s="74"/>
      <c r="AC10" s="74"/>
      <c r="AD10" s="622">
        <v>0</v>
      </c>
      <c r="AE10" s="663" t="str">
        <f>'Translate&amp;Prices&amp;Logo'!$B$637</f>
        <v>Distance from the top edge</v>
      </c>
      <c r="AF10" s="74"/>
      <c r="AG10" s="74"/>
      <c r="AH10" s="74"/>
      <c r="AI10" s="211"/>
      <c r="AJ10" s="212"/>
      <c r="AK10" s="74"/>
      <c r="AL10" s="74"/>
      <c r="AM10" s="74"/>
      <c r="AN10" s="74"/>
      <c r="AO10" s="74"/>
      <c r="AP10" s="228"/>
      <c r="AQ10" s="468"/>
      <c r="AR10" s="74"/>
      <c r="AS10" s="74"/>
      <c r="AT10" s="292" t="s">
        <v>2153</v>
      </c>
      <c r="AU10" s="293">
        <f>IFERROR(VLOOKUP(H9,kombinace_4!$BY$13:$BZ$15,2,0),0)</f>
        <v>0</v>
      </c>
      <c r="AV10" s="293"/>
    </row>
    <row r="11" spans="1:65" ht="18" customHeight="1">
      <c r="A11" s="212"/>
      <c r="B11" s="647" t="str">
        <f>('Translate&amp;Prices&amp;Logo'!$B$543)&amp;" "&amp;"("&amp;'Translate&amp;Prices&amp;Logo'!$B$174&amp;")"</f>
        <v>Dividing bars (Quantity)</v>
      </c>
      <c r="C11" s="648"/>
      <c r="D11" s="648"/>
      <c r="E11" s="648"/>
      <c r="F11" s="648"/>
      <c r="G11" s="249"/>
      <c r="H11" s="607"/>
      <c r="I11" s="607"/>
      <c r="J11" s="607"/>
      <c r="K11" s="607"/>
      <c r="L11" s="608"/>
      <c r="M11" s="607"/>
      <c r="N11" s="607"/>
      <c r="O11" s="607"/>
      <c r="P11" s="607"/>
      <c r="Q11" s="623"/>
      <c r="R11" s="212"/>
      <c r="S11" s="627"/>
      <c r="T11" s="628"/>
      <c r="U11" s="628"/>
      <c r="V11" s="628"/>
      <c r="W11" s="628"/>
      <c r="X11" s="628"/>
      <c r="Y11" s="629"/>
      <c r="Z11" s="231"/>
      <c r="AA11" s="229"/>
      <c r="AB11" s="230"/>
      <c r="AC11" s="74"/>
      <c r="AD11" s="622"/>
      <c r="AE11" s="663"/>
      <c r="AF11" s="74"/>
      <c r="AG11" s="74"/>
      <c r="AH11" s="74"/>
      <c r="AI11" s="211"/>
      <c r="AJ11" s="212"/>
      <c r="AK11" s="74"/>
      <c r="AL11" s="74"/>
      <c r="AM11" s="74"/>
      <c r="AN11" s="74"/>
      <c r="AO11" s="231"/>
      <c r="AP11" s="225"/>
      <c r="AQ11" s="468"/>
      <c r="AR11" s="74"/>
      <c r="AS11" s="74"/>
      <c r="AT11" s="299">
        <f>IFERROR(IF(kombinace_4!$H$1=TRUE,BA2+AY3,0),0)</f>
        <v>0</v>
      </c>
      <c r="AU11" s="299"/>
      <c r="AV11" s="293"/>
    </row>
    <row r="12" spans="1:65" ht="18" customHeight="1">
      <c r="A12" s="212"/>
      <c r="B12" s="624" t="str">
        <f>'Translate&amp;Prices&amp;Logo'!$B$258</f>
        <v>Type of fittings</v>
      </c>
      <c r="C12" s="625"/>
      <c r="D12" s="625"/>
      <c r="E12" s="625"/>
      <c r="F12" s="625"/>
      <c r="G12" s="249"/>
      <c r="H12" s="605"/>
      <c r="I12" s="605"/>
      <c r="J12" s="605"/>
      <c r="K12" s="605"/>
      <c r="L12" s="605"/>
      <c r="M12" s="605"/>
      <c r="N12" s="605"/>
      <c r="O12" s="605"/>
      <c r="P12" s="605"/>
      <c r="Q12" s="606"/>
      <c r="R12" s="212"/>
      <c r="S12" s="627"/>
      <c r="T12" s="628"/>
      <c r="U12" s="628"/>
      <c r="V12" s="628"/>
      <c r="W12" s="628"/>
      <c r="X12" s="628"/>
      <c r="Y12" s="629"/>
      <c r="Z12" s="231"/>
      <c r="AA12" s="229"/>
      <c r="AB12" s="230"/>
      <c r="AC12" s="74"/>
      <c r="AD12" s="622"/>
      <c r="AE12" s="663"/>
      <c r="AF12" s="74"/>
      <c r="AG12" s="74"/>
      <c r="AH12" s="74"/>
      <c r="AI12" s="211"/>
      <c r="AJ12" s="212"/>
      <c r="AK12" s="74"/>
      <c r="AL12" s="74"/>
      <c r="AM12" s="74"/>
      <c r="AN12" s="74"/>
      <c r="AO12" s="231"/>
      <c r="AP12" s="225"/>
      <c r="AQ12" s="468"/>
      <c r="AR12" s="74"/>
      <c r="AS12" s="74"/>
      <c r="AT12" s="293"/>
      <c r="AU12" s="293"/>
      <c r="AV12" s="293"/>
    </row>
    <row r="13" spans="1:65" ht="18" customHeight="1" thickBot="1">
      <c r="A13" s="212"/>
      <c r="B13" s="624" t="str">
        <f>'Translate&amp;Prices&amp;Logo'!$B$544</f>
        <v>Fittings brand</v>
      </c>
      <c r="C13" s="625"/>
      <c r="D13" s="625"/>
      <c r="E13" s="625"/>
      <c r="F13" s="625"/>
      <c r="G13" s="249"/>
      <c r="H13" s="605"/>
      <c r="I13" s="605"/>
      <c r="J13" s="605"/>
      <c r="K13" s="605"/>
      <c r="L13" s="605"/>
      <c r="M13" s="605"/>
      <c r="N13" s="605"/>
      <c r="O13" s="605"/>
      <c r="P13" s="605"/>
      <c r="Q13" s="606"/>
      <c r="R13" s="212"/>
      <c r="S13" s="627">
        <f>IF(H13="Salice"," ",IF(H19&gt;=2,'Translate&amp;Prices&amp;Logo'!B575,0))</f>
        <v>0</v>
      </c>
      <c r="T13" s="628"/>
      <c r="U13" s="628"/>
      <c r="V13" s="628"/>
      <c r="W13" s="628"/>
      <c r="X13" s="628"/>
      <c r="Y13" s="629"/>
      <c r="Z13" s="231"/>
      <c r="AA13" s="229"/>
      <c r="AB13" s="230"/>
      <c r="AC13" s="74"/>
      <c r="AD13" s="226"/>
      <c r="AE13" s="663"/>
      <c r="AF13" s="74"/>
      <c r="AG13" s="74"/>
      <c r="AH13" s="74"/>
      <c r="AI13" s="211"/>
      <c r="AJ13" s="212"/>
      <c r="AK13" s="74"/>
      <c r="AL13" s="74"/>
      <c r="AM13" s="74"/>
      <c r="AN13" s="74"/>
      <c r="AO13" s="231"/>
      <c r="AP13" s="225"/>
      <c r="AQ13" s="468"/>
      <c r="AR13" s="74"/>
      <c r="AS13" s="74"/>
      <c r="AT13" s="412">
        <f>IFERROR((((AI30/1000)+(AR14/1000))*2)*(VLOOKUP(H8,'Translate&amp;Prices&amp;Logo'!B6:C74,2,0))+(VLOOKUP(H8,'Translate&amp;Prices&amp;Logo'!B6:D74,3,0)),0)</f>
        <v>0</v>
      </c>
      <c r="AU13" s="299"/>
      <c r="AV13" s="293"/>
    </row>
    <row r="14" spans="1:65" ht="18" customHeight="1">
      <c r="A14" s="212"/>
      <c r="B14" s="624">
        <f>IFERROR(IF(H12='Translate&amp;Prices&amp;Logo'!B551,'Translate&amp;Prices&amp;Logo'!$B$546,0),0)</f>
        <v>0</v>
      </c>
      <c r="C14" s="625"/>
      <c r="D14" s="625"/>
      <c r="E14" s="625"/>
      <c r="F14" s="625"/>
      <c r="G14" s="249"/>
      <c r="H14" s="605"/>
      <c r="I14" s="605"/>
      <c r="J14" s="605"/>
      <c r="K14" s="605"/>
      <c r="L14" s="605"/>
      <c r="M14" s="605"/>
      <c r="N14" s="605"/>
      <c r="O14" s="605"/>
      <c r="P14" s="605"/>
      <c r="Q14" s="606"/>
      <c r="R14" s="212"/>
      <c r="S14" s="627"/>
      <c r="T14" s="628"/>
      <c r="U14" s="628"/>
      <c r="V14" s="628"/>
      <c r="W14" s="628"/>
      <c r="X14" s="628"/>
      <c r="Y14" s="629"/>
      <c r="Z14" s="231"/>
      <c r="AA14" s="229"/>
      <c r="AB14" s="230"/>
      <c r="AC14" s="74"/>
      <c r="AD14" s="626" t="str">
        <f>('Translate&amp;Prices&amp;Logo'!$B$548)&amp;" "&amp;H26&amp;" "&amp;"mm"</f>
        <v>Pitch  mm</v>
      </c>
      <c r="AE14" s="663"/>
      <c r="AF14" s="74"/>
      <c r="AG14" s="74"/>
      <c r="AH14" s="74"/>
      <c r="AI14" s="211"/>
      <c r="AJ14" s="212"/>
      <c r="AK14" s="74"/>
      <c r="AL14" s="74"/>
      <c r="AM14" s="661" t="str">
        <f>('Translate&amp;Prices&amp;Logo'!$B$548)&amp;" "&amp;H26&amp;" "&amp;"mm"</f>
        <v>Pitch  mm</v>
      </c>
      <c r="AN14" s="74"/>
      <c r="AO14" s="232"/>
      <c r="AP14" s="225"/>
      <c r="AQ14" s="468"/>
      <c r="AR14" s="602"/>
      <c r="AS14" s="74"/>
      <c r="AT14" s="299"/>
      <c r="AU14" s="293"/>
      <c r="AV14" s="293"/>
      <c r="AW14" s="318" t="s">
        <v>3169</v>
      </c>
    </row>
    <row r="15" spans="1:65" ht="18" customHeight="1" thickBot="1">
      <c r="A15" s="212"/>
      <c r="B15" s="624" t="str">
        <f>'Translate&amp;Prices&amp;Logo'!$B$545</f>
        <v>Fittings variant</v>
      </c>
      <c r="C15" s="625"/>
      <c r="D15" s="625"/>
      <c r="E15" s="625"/>
      <c r="F15" s="625"/>
      <c r="G15" s="249"/>
      <c r="H15" s="605"/>
      <c r="I15" s="605"/>
      <c r="J15" s="605"/>
      <c r="K15" s="605"/>
      <c r="L15" s="605"/>
      <c r="M15" s="605"/>
      <c r="N15" s="605"/>
      <c r="O15" s="605"/>
      <c r="P15" s="605"/>
      <c r="Q15" s="606"/>
      <c r="R15" s="212"/>
      <c r="S15" s="627"/>
      <c r="T15" s="628"/>
      <c r="U15" s="628"/>
      <c r="V15" s="628"/>
      <c r="W15" s="628"/>
      <c r="X15" s="628"/>
      <c r="Y15" s="629"/>
      <c r="Z15" s="231"/>
      <c r="AA15" s="229"/>
      <c r="AB15" s="233"/>
      <c r="AC15" s="74"/>
      <c r="AD15" s="626"/>
      <c r="AE15" s="663"/>
      <c r="AF15" s="74"/>
      <c r="AG15" s="74"/>
      <c r="AH15" s="74"/>
      <c r="AI15" s="211"/>
      <c r="AJ15" s="212"/>
      <c r="AK15" s="74"/>
      <c r="AL15" s="74"/>
      <c r="AM15" s="661"/>
      <c r="AN15" s="74"/>
      <c r="AO15" s="232"/>
      <c r="AP15" s="225"/>
      <c r="AQ15" s="468"/>
      <c r="AR15" s="602"/>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5" t="str">
        <f>IF(H15=kombinace_4!AB40,'Translate&amp;Prices&amp;Logo'!$B$224,IF(H15=kombinace_4!AB41,'Translate&amp;Prices&amp;Logo'!$B$224,IF(H12='závěsy dle výklopu'!BQ2,'Translate&amp;Prices&amp;Logo'!$B$222,'Translate&amp;Prices&amp;Logo'!$B$218)))</f>
        <v>Select Frame Position</v>
      </c>
      <c r="C16" s="646"/>
      <c r="D16" s="646"/>
      <c r="E16" s="646"/>
      <c r="F16" s="644"/>
      <c r="G16" s="644"/>
      <c r="H16" s="644"/>
      <c r="I16" s="644"/>
      <c r="J16" s="640" t="str">
        <f>IF(OR(H15=kombinace_4!AB40,H15=kombinace_4!AB7,H15=kombinace_4!AB15,H15=kombinace_4!AB20,H15=kombinace_4!AB21,H15=kombinace_4!AB22),'Translate&amp;Prices&amp;Logo'!$B$226,IF(H15=kombinace_4!AB41,'Translate&amp;Prices&amp;Logo'!$B$226,'Translate&amp;Prices&amp;Logo'!$B$232))</f>
        <v>Second door type</v>
      </c>
      <c r="K16" s="640"/>
      <c r="L16" s="640"/>
      <c r="M16" s="640"/>
      <c r="N16" s="638"/>
      <c r="O16" s="638"/>
      <c r="P16" s="638"/>
      <c r="Q16" s="639"/>
      <c r="R16" s="212"/>
      <c r="S16" s="627"/>
      <c r="T16" s="628"/>
      <c r="U16" s="628"/>
      <c r="V16" s="628"/>
      <c r="W16" s="628"/>
      <c r="X16" s="628"/>
      <c r="Y16" s="629"/>
      <c r="Z16" s="231"/>
      <c r="AA16" s="229"/>
      <c r="AB16" s="233"/>
      <c r="AC16" s="74"/>
      <c r="AD16" s="626"/>
      <c r="AE16" s="663"/>
      <c r="AF16" s="74"/>
      <c r="AG16" s="74"/>
      <c r="AH16" s="74"/>
      <c r="AI16" s="211"/>
      <c r="AJ16" s="212"/>
      <c r="AK16" s="74"/>
      <c r="AL16" s="74"/>
      <c r="AM16" s="661"/>
      <c r="AN16" s="74"/>
      <c r="AO16" s="232"/>
      <c r="AP16" s="225"/>
      <c r="AQ16" s="468"/>
      <c r="AR16" s="602"/>
      <c r="AS16" s="74"/>
      <c r="AT16" s="299"/>
      <c r="AU16" s="293">
        <f>(AI30/1000)/AU15</f>
        <v>0</v>
      </c>
      <c r="AV16" s="293">
        <f>(AR14/1000)/AV15</f>
        <v>0</v>
      </c>
      <c r="AW16" s="320">
        <f>(2*AU16)+(2*AV16)</f>
        <v>0</v>
      </c>
    </row>
    <row r="17" spans="1:52" ht="18" customHeight="1">
      <c r="A17" s="212"/>
      <c r="B17" s="624">
        <f>IF(H12='Translate&amp;Prices&amp;Logo'!B551,'Translate&amp;Prices&amp;Logo'!B238,IF(H15=kombinace_4!AB8,'Translate&amp;Prices&amp;Logo'!B284,0))</f>
        <v>0</v>
      </c>
      <c r="C17" s="625"/>
      <c r="D17" s="625"/>
      <c r="E17" s="625"/>
      <c r="F17" s="625"/>
      <c r="G17" s="249"/>
      <c r="H17" s="605"/>
      <c r="I17" s="605"/>
      <c r="J17" s="605"/>
      <c r="K17" s="605"/>
      <c r="L17" s="605"/>
      <c r="M17" s="605"/>
      <c r="N17" s="605"/>
      <c r="O17" s="605"/>
      <c r="P17" s="605"/>
      <c r="Q17" s="606"/>
      <c r="R17" s="212"/>
      <c r="S17" s="627"/>
      <c r="T17" s="628"/>
      <c r="U17" s="628"/>
      <c r="V17" s="628"/>
      <c r="W17" s="628"/>
      <c r="X17" s="628"/>
      <c r="Y17" s="629"/>
      <c r="Z17" s="231"/>
      <c r="AA17" s="229"/>
      <c r="AB17" s="233"/>
      <c r="AC17" s="74"/>
      <c r="AD17" s="626"/>
      <c r="AE17" s="74"/>
      <c r="AF17" s="74"/>
      <c r="AG17" s="74"/>
      <c r="AH17" s="74"/>
      <c r="AI17" s="211"/>
      <c r="AJ17" s="212"/>
      <c r="AK17" s="74"/>
      <c r="AL17" s="74"/>
      <c r="AM17" s="661"/>
      <c r="AN17" s="74"/>
      <c r="AO17" s="232"/>
      <c r="AP17" s="225"/>
      <c r="AQ17" s="468"/>
      <c r="AR17" s="602"/>
      <c r="AS17" s="74"/>
      <c r="AT17" s="299">
        <f>IF(AU10=1,BD3*'Translate&amp;Prices&amp;Logo'!C51,IF(AU10=2,BI3*'Translate&amp;Prices&amp;Logo'!C51,IF(AU10=3,(BD3+BI3)*'Translate&amp;Prices&amp;Logo'!C51,IF(AU10=0,0))))</f>
        <v>0</v>
      </c>
      <c r="AU17" s="293" t="e">
        <f>IF(H13&lt;&gt;"Salice",AU23,0)</f>
        <v>#N/A</v>
      </c>
      <c r="AV17" s="293">
        <f>IF(H13="Salice",VLOOKUP(H17,kombinace_4!$BY:$BZ,2,0),0)</f>
        <v>0</v>
      </c>
    </row>
    <row r="18" spans="1:52" ht="18" customHeight="1">
      <c r="A18" s="212"/>
      <c r="B18" s="624">
        <f>IFERROR(IF(VLOOKUP(H15,kombinace_4!CD:CE,2,0)=1,'Translate&amp;Prices&amp;Logo'!$B$547,0),0)</f>
        <v>0</v>
      </c>
      <c r="C18" s="625"/>
      <c r="D18" s="625"/>
      <c r="E18" s="625"/>
      <c r="F18" s="625"/>
      <c r="G18" s="249"/>
      <c r="H18" s="605"/>
      <c r="I18" s="605"/>
      <c r="J18" s="605"/>
      <c r="K18" s="605"/>
      <c r="L18" s="605"/>
      <c r="M18" s="605"/>
      <c r="N18" s="605"/>
      <c r="O18" s="605"/>
      <c r="P18" s="605"/>
      <c r="Q18" s="606"/>
      <c r="R18" s="212"/>
      <c r="S18" s="627">
        <f>IFERROR((IF(AND(AU7=2,H27&gt;""),'Translate&amp;Prices&amp;Logo'!$B$576,IF(AND(AU7=1,H27&gt;""),'Translate&amp;Prices&amp;Logo'!$B$626,IF(AND(AU7=3,H27&gt;""),'Translate&amp;Prices&amp;Logo'!$B$626,0)))),0)</f>
        <v>0</v>
      </c>
      <c r="T18" s="628"/>
      <c r="U18" s="628"/>
      <c r="V18" s="628"/>
      <c r="W18" s="628"/>
      <c r="X18" s="628"/>
      <c r="Y18" s="629"/>
      <c r="Z18" s="231"/>
      <c r="AA18" s="229"/>
      <c r="AB18" s="233"/>
      <c r="AC18" s="74"/>
      <c r="AD18" s="626"/>
      <c r="AE18" s="74"/>
      <c r="AF18" s="74"/>
      <c r="AG18" s="74"/>
      <c r="AH18" s="74"/>
      <c r="AI18" s="211"/>
      <c r="AJ18" s="212"/>
      <c r="AK18" s="74"/>
      <c r="AL18" s="74"/>
      <c r="AM18" s="661"/>
      <c r="AN18" s="74"/>
      <c r="AO18" s="232"/>
      <c r="AP18" s="225"/>
      <c r="AQ18" s="468"/>
      <c r="AR18" s="602"/>
      <c r="AS18" s="74"/>
      <c r="AT18" s="299"/>
      <c r="AU18" s="293"/>
      <c r="AV18" s="293"/>
    </row>
    <row r="19" spans="1:52" ht="18" customHeight="1">
      <c r="A19" s="212"/>
      <c r="B19" s="624">
        <f>IFERROR(IF(H12='Translate&amp;Prices&amp;Logo'!B551,'Translate&amp;Prices&amp;Logo'!$B$223,IF(VLOOKUP(H15,kombinace_4!CD:CE,2,0)=1,'Translate&amp;Prices&amp;Logo'!$B$223,)),0)</f>
        <v>0</v>
      </c>
      <c r="C19" s="625"/>
      <c r="D19" s="625"/>
      <c r="E19" s="625"/>
      <c r="F19" s="625"/>
      <c r="G19" s="249"/>
      <c r="H19" s="605"/>
      <c r="I19" s="605"/>
      <c r="J19" s="605"/>
      <c r="K19" s="605"/>
      <c r="L19" s="605"/>
      <c r="M19" s="605"/>
      <c r="N19" s="605"/>
      <c r="O19" s="605"/>
      <c r="P19" s="605"/>
      <c r="Q19" s="606"/>
      <c r="R19" s="212"/>
      <c r="S19" s="627"/>
      <c r="T19" s="628"/>
      <c r="U19" s="628"/>
      <c r="V19" s="628"/>
      <c r="W19" s="628"/>
      <c r="X19" s="628"/>
      <c r="Y19" s="629"/>
      <c r="Z19" s="231"/>
      <c r="AA19" s="228"/>
      <c r="AB19" s="601">
        <v>0</v>
      </c>
      <c r="AC19" s="601"/>
      <c r="AD19" s="626"/>
      <c r="AE19" s="74"/>
      <c r="AF19" s="74"/>
      <c r="AG19" s="74"/>
      <c r="AH19" s="74"/>
      <c r="AI19" s="310"/>
      <c r="AJ19" s="212"/>
      <c r="AK19" s="74"/>
      <c r="AL19" s="660" t="str">
        <f>'Translate&amp;Prices&amp;Logo'!$B$636</f>
        <v>Distance from the bottom edge</v>
      </c>
      <c r="AM19" s="661"/>
      <c r="AN19" s="601">
        <v>0</v>
      </c>
      <c r="AO19" s="601"/>
      <c r="AP19" s="227"/>
      <c r="AQ19" s="468"/>
      <c r="AR19" s="600" t="str">
        <f>'Translate&amp;Prices&amp;Logo'!$B$176</f>
        <v>Height</v>
      </c>
      <c r="AS19" s="74"/>
      <c r="AT19" s="299"/>
      <c r="AU19" s="291">
        <f>IFERROR(IF(H12='závěsy dle výklopu'!BR2,VLOOKUP(H15,kombinace_4!$CD$3:$CF$18,3,0),IF(H12='závěsy dle výklopu'!BQ2,1,0)),0)</f>
        <v>0</v>
      </c>
      <c r="AV19" s="293">
        <f>IFERROR(VLOOKUP(H15,kombinace_4!$CD:$CF,3,0),0)</f>
        <v>0</v>
      </c>
    </row>
    <row r="20" spans="1:52" ht="18" customHeight="1">
      <c r="A20" s="212"/>
      <c r="B20" s="649">
        <f>IF(H13&lt;&gt;"Salice",(IFERROR('Translate&amp;Prices&amp;Logo'!$B$242&amp;" "&amp;(VLOOKUP(H17,kombinace_4!$BY$32:$CA$35,2,0)),0)),0)</f>
        <v>0</v>
      </c>
      <c r="C20" s="650"/>
      <c r="D20" s="650"/>
      <c r="E20" s="650"/>
      <c r="F20" s="636">
        <v>100</v>
      </c>
      <c r="G20" s="636"/>
      <c r="H20" s="636"/>
      <c r="I20" s="636"/>
      <c r="J20" s="650">
        <f>IFERROR('Translate&amp;Prices&amp;Logo'!$B$242&amp;" "&amp;(VLOOKUP(H17,kombinace_4!$BY$32:$CA$35,3,0)),0)</f>
        <v>0</v>
      </c>
      <c r="K20" s="650"/>
      <c r="L20" s="650"/>
      <c r="M20" s="650"/>
      <c r="N20" s="636">
        <v>100</v>
      </c>
      <c r="O20" s="636"/>
      <c r="P20" s="636"/>
      <c r="Q20" s="637"/>
      <c r="R20" s="212"/>
      <c r="S20" s="627"/>
      <c r="T20" s="628"/>
      <c r="U20" s="628"/>
      <c r="V20" s="628"/>
      <c r="W20" s="628"/>
      <c r="X20" s="628"/>
      <c r="Y20" s="629"/>
      <c r="Z20" s="231"/>
      <c r="AA20" s="229"/>
      <c r="AB20" s="230"/>
      <c r="AC20" s="74"/>
      <c r="AD20" s="626"/>
      <c r="AE20" s="74"/>
      <c r="AF20" s="74"/>
      <c r="AG20" s="74"/>
      <c r="AH20" s="74"/>
      <c r="AI20" s="211"/>
      <c r="AJ20" s="212"/>
      <c r="AK20" s="74"/>
      <c r="AL20" s="660"/>
      <c r="AM20" s="661"/>
      <c r="AN20" s="74"/>
      <c r="AO20" s="232"/>
      <c r="AP20" s="225"/>
      <c r="AQ20" s="468"/>
      <c r="AR20" s="600"/>
      <c r="AS20" s="74"/>
      <c r="AT20" s="299"/>
      <c r="AU20" s="293"/>
      <c r="AV20" s="293"/>
    </row>
    <row r="21" spans="1:52" ht="18" customHeight="1">
      <c r="A21" s="212"/>
      <c r="B21" s="624" t="str">
        <f>IF(kombinace_4!FC2=FALSE,'Translate&amp;Prices&amp;Logo'!$B$173," ")</f>
        <v>Type of glass</v>
      </c>
      <c r="C21" s="625"/>
      <c r="D21" s="625"/>
      <c r="E21" s="625"/>
      <c r="F21" s="625"/>
      <c r="G21" s="249"/>
      <c r="H21" s="605"/>
      <c r="I21" s="605"/>
      <c r="J21" s="605"/>
      <c r="K21" s="605"/>
      <c r="L21" s="605"/>
      <c r="M21" s="605"/>
      <c r="N21" s="605"/>
      <c r="O21" s="605"/>
      <c r="P21" s="605"/>
      <c r="Q21" s="606"/>
      <c r="R21" s="212"/>
      <c r="S21" s="627"/>
      <c r="T21" s="628"/>
      <c r="U21" s="628"/>
      <c r="V21" s="628"/>
      <c r="W21" s="628"/>
      <c r="X21" s="628"/>
      <c r="Y21" s="629"/>
      <c r="Z21" s="231"/>
      <c r="AA21" s="229"/>
      <c r="AB21" s="230"/>
      <c r="AC21" s="74"/>
      <c r="AD21" s="626"/>
      <c r="AE21" s="74"/>
      <c r="AF21" s="74"/>
      <c r="AG21" s="74"/>
      <c r="AH21" s="74"/>
      <c r="AI21" s="211"/>
      <c r="AJ21" s="212"/>
      <c r="AK21" s="74"/>
      <c r="AL21" s="660"/>
      <c r="AM21" s="661"/>
      <c r="AN21" s="74"/>
      <c r="AO21" s="231"/>
      <c r="AP21" s="225"/>
      <c r="AQ21" s="468"/>
      <c r="AR21" s="600"/>
      <c r="AS21" s="74"/>
      <c r="AT21" s="299"/>
      <c r="AU21" s="293"/>
      <c r="AV21" s="293"/>
      <c r="AY21" s="264" t="b">
        <f>AND(AU7=2,H27&gt;"")</f>
        <v>0</v>
      </c>
      <c r="AZ21" s="264" t="b">
        <f>AND(AU7=1,H27&gt;"")</f>
        <v>0</v>
      </c>
    </row>
    <row r="22" spans="1:52" ht="18" customHeight="1">
      <c r="A22" s="212"/>
      <c r="B22" s="379"/>
      <c r="C22" s="380"/>
      <c r="D22" s="380"/>
      <c r="E22" s="380"/>
      <c r="F22" s="380"/>
      <c r="G22" s="250"/>
      <c r="H22" s="250"/>
      <c r="I22" s="250"/>
      <c r="J22" s="250"/>
      <c r="K22" s="250"/>
      <c r="L22" s="250"/>
      <c r="M22" s="250"/>
      <c r="N22" s="250"/>
      <c r="O22" s="250"/>
      <c r="P22" s="250"/>
      <c r="Q22" s="306"/>
      <c r="R22" s="212"/>
      <c r="S22" s="627"/>
      <c r="T22" s="628"/>
      <c r="U22" s="628"/>
      <c r="V22" s="628"/>
      <c r="W22" s="628"/>
      <c r="X22" s="628"/>
      <c r="Y22" s="629"/>
      <c r="Z22" s="231"/>
      <c r="AA22" s="229"/>
      <c r="AB22" s="230"/>
      <c r="AC22" s="74"/>
      <c r="AD22" s="74"/>
      <c r="AE22" s="74"/>
      <c r="AF22" s="74"/>
      <c r="AG22" s="74"/>
      <c r="AH22" s="74"/>
      <c r="AI22" s="211"/>
      <c r="AJ22" s="212"/>
      <c r="AK22" s="74"/>
      <c r="AL22" s="660"/>
      <c r="AM22" s="226"/>
      <c r="AN22" s="74"/>
      <c r="AO22" s="231"/>
      <c r="AP22" s="225"/>
      <c r="AQ22" s="468"/>
      <c r="AR22" s="600"/>
      <c r="AS22" s="74"/>
      <c r="AT22" s="299"/>
      <c r="AU22" s="293"/>
      <c r="AV22" s="293"/>
    </row>
    <row r="23" spans="1:52" ht="18" customHeight="1">
      <c r="A23" s="212"/>
      <c r="B23" s="379"/>
      <c r="C23" s="380"/>
      <c r="D23" s="380"/>
      <c r="E23" s="380"/>
      <c r="F23" s="380"/>
      <c r="G23" s="250"/>
      <c r="H23" s="568" t="str">
        <f>"↥↥  "&amp;'Translate&amp;Prices&amp;Logo'!$B$573&amp;"  ↥↥"</f>
        <v>↥↥  Do not change after you make a choice type of glass/mesh  ↥↥</v>
      </c>
      <c r="I23" s="568"/>
      <c r="J23" s="568"/>
      <c r="K23" s="568"/>
      <c r="L23" s="568"/>
      <c r="M23" s="568"/>
      <c r="N23" s="568"/>
      <c r="O23" s="568"/>
      <c r="P23" s="568"/>
      <c r="Q23" s="662"/>
      <c r="R23" s="212"/>
      <c r="S23" s="630"/>
      <c r="T23" s="631"/>
      <c r="U23" s="631"/>
      <c r="V23" s="631"/>
      <c r="W23" s="631"/>
      <c r="X23" s="631"/>
      <c r="Y23" s="632"/>
      <c r="Z23" s="231"/>
      <c r="AA23" s="229"/>
      <c r="AB23" s="230"/>
      <c r="AC23" s="74"/>
      <c r="AD23" s="74"/>
      <c r="AE23" s="74"/>
      <c r="AF23" s="74"/>
      <c r="AG23" s="74"/>
      <c r="AH23" s="74"/>
      <c r="AI23" s="211"/>
      <c r="AJ23" s="212"/>
      <c r="AK23" s="74"/>
      <c r="AL23" s="660"/>
      <c r="AM23" s="617">
        <v>0</v>
      </c>
      <c r="AN23" s="74"/>
      <c r="AO23" s="231"/>
      <c r="AP23" s="225"/>
      <c r="AQ23" s="468"/>
      <c r="AR23" s="600"/>
      <c r="AS23" s="74"/>
      <c r="AT23" s="299"/>
      <c r="AU23" s="293" t="e">
        <f>VLOOKUP(H17,kombinace_4!$BY$3:$BZ$6,2,0)</f>
        <v>#N/A</v>
      </c>
      <c r="AV23" s="293"/>
    </row>
    <row r="24" spans="1:52" ht="18" customHeight="1">
      <c r="A24" s="212"/>
      <c r="B24" s="685" t="str">
        <f>'Translate&amp;Prices&amp;Logo'!$B$562</f>
        <v>Type of foil</v>
      </c>
      <c r="C24" s="686"/>
      <c r="D24" s="686"/>
      <c r="E24" s="686"/>
      <c r="F24" s="686"/>
      <c r="G24" s="249"/>
      <c r="H24" s="607"/>
      <c r="I24" s="607"/>
      <c r="J24" s="607"/>
      <c r="K24" s="607"/>
      <c r="L24" s="607"/>
      <c r="M24" s="607"/>
      <c r="N24" s="607"/>
      <c r="O24" s="607"/>
      <c r="P24" s="607"/>
      <c r="Q24" s="623"/>
      <c r="R24" s="212"/>
      <c r="S24" s="618" t="str">
        <f>'Translate&amp;Prices&amp;Logo'!$B$177</f>
        <v>Notes</v>
      </c>
      <c r="T24" s="618"/>
      <c r="U24" s="618"/>
      <c r="Z24" s="231"/>
      <c r="AA24" s="229"/>
      <c r="AB24" s="230"/>
      <c r="AC24" s="616" t="str">
        <f>'Translate&amp;Prices&amp;Logo'!$B$242</f>
        <v>Distance from edge</v>
      </c>
      <c r="AD24" s="616"/>
      <c r="AE24" s="616"/>
      <c r="AF24" s="616"/>
      <c r="AG24" s="616"/>
      <c r="AH24" s="74"/>
      <c r="AI24" s="211"/>
      <c r="AJ24" s="212"/>
      <c r="AK24" s="74"/>
      <c r="AL24" s="660"/>
      <c r="AM24" s="617"/>
      <c r="AN24" s="74"/>
      <c r="AO24" s="231"/>
      <c r="AP24" s="234"/>
      <c r="AQ24" s="468"/>
      <c r="AR24" s="74"/>
      <c r="AS24" s="486">
        <f>IF(H28&gt;0,AR14,0)</f>
        <v>0</v>
      </c>
      <c r="AT24" s="299"/>
      <c r="AU24" s="293" t="e">
        <f>CONCATENATE(AU23,"_",H19)</f>
        <v>#N/A</v>
      </c>
      <c r="AV24" s="293"/>
      <c r="AW24" s="264">
        <f>IF(AI30&gt;=2600,1.3,IF(AR14&gt;=2600,1.3,1))</f>
        <v>1</v>
      </c>
    </row>
    <row r="25" spans="1:52" ht="18" customHeight="1">
      <c r="A25" s="212"/>
      <c r="B25" s="624" t="str">
        <f>'Translate&amp;Prices&amp;Logo'!$B$625</f>
        <v>Type of glass/mesh</v>
      </c>
      <c r="C25" s="625"/>
      <c r="D25" s="625"/>
      <c r="E25" s="625"/>
      <c r="F25" s="625"/>
      <c r="G25" s="249"/>
      <c r="H25" s="605"/>
      <c r="I25" s="605"/>
      <c r="J25" s="605"/>
      <c r="K25" s="605"/>
      <c r="L25" s="605"/>
      <c r="M25" s="605"/>
      <c r="N25" s="605"/>
      <c r="O25" s="605"/>
      <c r="P25" s="605"/>
      <c r="Q25" s="606"/>
      <c r="R25" s="212"/>
      <c r="S25" s="665"/>
      <c r="T25" s="666"/>
      <c r="U25" s="666"/>
      <c r="V25" s="666"/>
      <c r="W25" s="666"/>
      <c r="X25" s="666"/>
      <c r="Y25" s="667"/>
      <c r="Z25" s="231"/>
      <c r="AA25" s="229"/>
      <c r="AB25" s="230"/>
      <c r="AC25" s="601">
        <v>0</v>
      </c>
      <c r="AD25" s="601"/>
      <c r="AE25" s="226"/>
      <c r="AF25" s="615" t="str">
        <f>('Translate&amp;Prices&amp;Logo'!$B$548)&amp;" "&amp;H26&amp;" "&amp;"mm"</f>
        <v>Pitch  mm</v>
      </c>
      <c r="AG25" s="615"/>
      <c r="AH25" s="615"/>
      <c r="AI25" s="615"/>
      <c r="AJ25" s="615"/>
      <c r="AK25" s="615"/>
      <c r="AL25" s="660"/>
      <c r="AM25" s="617"/>
      <c r="AN25" s="74"/>
      <c r="AO25" s="231"/>
      <c r="AP25" s="234"/>
      <c r="AQ25" s="468"/>
      <c r="AR25" s="74"/>
      <c r="AS25" s="74"/>
      <c r="AT25" s="299"/>
      <c r="AU25" s="293" t="e">
        <f>VLOOKUP(H27,kombinace_4!$BY:$BZ,2,0)</f>
        <v>#N/A</v>
      </c>
      <c r="AV25" s="293"/>
    </row>
    <row r="26" spans="1:52" ht="18" customHeight="1">
      <c r="A26" s="212"/>
      <c r="B26" s="624" t="str">
        <f>'Translate&amp;Prices&amp;Logo'!$B$549</f>
        <v>Handle diameter (mm)</v>
      </c>
      <c r="C26" s="625"/>
      <c r="D26" s="625"/>
      <c r="E26" s="625"/>
      <c r="F26" s="625"/>
      <c r="G26" s="249"/>
      <c r="H26" s="656"/>
      <c r="I26" s="656"/>
      <c r="J26" s="656"/>
      <c r="K26" s="656"/>
      <c r="L26" s="656"/>
      <c r="M26" s="656"/>
      <c r="N26" s="656"/>
      <c r="O26" s="656"/>
      <c r="P26" s="656"/>
      <c r="Q26" s="657"/>
      <c r="R26" s="212"/>
      <c r="S26" s="668"/>
      <c r="T26" s="669"/>
      <c r="U26" s="669"/>
      <c r="V26" s="669"/>
      <c r="W26" s="669"/>
      <c r="X26" s="669"/>
      <c r="Y26" s="670"/>
      <c r="Z26" s="231"/>
      <c r="AA26" s="229"/>
      <c r="AB26" s="230"/>
      <c r="AC26" s="74"/>
      <c r="AD26" s="74"/>
      <c r="AE26" s="74"/>
      <c r="AF26" s="74"/>
      <c r="AG26" s="74"/>
      <c r="AH26" s="74"/>
      <c r="AI26" s="211"/>
      <c r="AJ26" s="622">
        <v>0</v>
      </c>
      <c r="AK26" s="74"/>
      <c r="AL26" s="74"/>
      <c r="AM26" s="74"/>
      <c r="AN26" s="74"/>
      <c r="AO26" s="231"/>
      <c r="AP26" s="225"/>
      <c r="AQ26" s="468"/>
      <c r="AR26" s="74"/>
      <c r="AS26" s="74"/>
      <c r="AT26" s="299"/>
    </row>
    <row r="27" spans="1:52" ht="18" customHeight="1">
      <c r="A27" s="212"/>
      <c r="B27" s="624" t="str">
        <f>'Translate&amp;Prices&amp;Logo'!$B$550</f>
        <v>Handle position</v>
      </c>
      <c r="C27" s="625"/>
      <c r="D27" s="625"/>
      <c r="E27" s="625"/>
      <c r="F27" s="625"/>
      <c r="G27" s="249"/>
      <c r="H27" s="605"/>
      <c r="I27" s="605"/>
      <c r="J27" s="605"/>
      <c r="K27" s="605"/>
      <c r="L27" s="605"/>
      <c r="M27" s="605"/>
      <c r="N27" s="605"/>
      <c r="O27" s="605"/>
      <c r="P27" s="605"/>
      <c r="Q27" s="606"/>
      <c r="R27" s="212"/>
      <c r="S27" s="668"/>
      <c r="T27" s="669"/>
      <c r="U27" s="669"/>
      <c r="V27" s="669"/>
      <c r="W27" s="669"/>
      <c r="X27" s="669"/>
      <c r="Y27" s="670"/>
      <c r="Z27" s="231"/>
      <c r="AA27" s="219"/>
      <c r="AB27" s="235"/>
      <c r="AC27" s="236"/>
      <c r="AD27" s="236"/>
      <c r="AE27" s="236"/>
      <c r="AF27" s="236"/>
      <c r="AG27" s="236"/>
      <c r="AH27" s="237"/>
      <c r="AI27" s="238"/>
      <c r="AJ27" s="622"/>
      <c r="AK27" s="236"/>
      <c r="AL27" s="236"/>
      <c r="AM27" s="236"/>
      <c r="AN27" s="236"/>
      <c r="AO27" s="239"/>
      <c r="AP27" s="225"/>
      <c r="AQ27" s="468"/>
      <c r="AR27" s="74"/>
      <c r="AS27" s="74"/>
      <c r="AT27" s="299"/>
    </row>
    <row r="28" spans="1:52" ht="18" customHeight="1">
      <c r="A28" s="212"/>
      <c r="B28" s="682" t="str">
        <f>('Translate&amp;Prices&amp;Logo'!$B$174)</f>
        <v>Quantity</v>
      </c>
      <c r="C28" s="683"/>
      <c r="D28" s="683"/>
      <c r="E28" s="683"/>
      <c r="F28" s="683"/>
      <c r="G28" s="249"/>
      <c r="H28" s="642"/>
      <c r="I28" s="642"/>
      <c r="J28" s="642"/>
      <c r="K28" s="642"/>
      <c r="L28" s="642"/>
      <c r="M28" s="642"/>
      <c r="N28" s="642"/>
      <c r="O28" s="642"/>
      <c r="P28" s="642"/>
      <c r="Q28" s="643"/>
      <c r="R28" s="212"/>
      <c r="S28" s="668"/>
      <c r="T28" s="669"/>
      <c r="U28" s="669"/>
      <c r="V28" s="669"/>
      <c r="W28" s="669"/>
      <c r="X28" s="669"/>
      <c r="Y28" s="670"/>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690" t="str">
        <f>IF(Hlavní!$V$39=3,"",'Translate&amp;Prices&amp;Logo'!$B$225&amp;" -&gt; "&amp; 'Translate&amp;Prices&amp;Logo'!B241&amp;":")</f>
        <v>Supply including specified fittings -&gt; select from list:</v>
      </c>
      <c r="E29" s="690"/>
      <c r="F29" s="690"/>
      <c r="G29" s="690"/>
      <c r="H29" s="690"/>
      <c r="I29" s="690"/>
      <c r="J29" s="690"/>
      <c r="K29" s="690"/>
      <c r="L29" s="690"/>
      <c r="M29" s="690"/>
      <c r="N29" s="690"/>
      <c r="O29" s="690"/>
      <c r="P29" s="688"/>
      <c r="Q29" s="689"/>
      <c r="R29" s="212"/>
      <c r="S29" s="668"/>
      <c r="T29" s="669"/>
      <c r="U29" s="669"/>
      <c r="V29" s="669"/>
      <c r="W29" s="669"/>
      <c r="X29" s="669"/>
      <c r="Y29" s="670"/>
      <c r="Z29" s="74"/>
      <c r="AA29" s="265" t="e">
        <f>VLOOKUP(H14,kombinace_4!$DN$7:$DO$24,2,0)</f>
        <v>#N/A</v>
      </c>
      <c r="AB29" s="659">
        <f>IF(kombinace_4!FC2=TRUE,AB4,IF(H12='závěsy dle výklopu'!BQ2,'Translate&amp;Prices&amp;Logo'!B577,0))</f>
        <v>0</v>
      </c>
      <c r="AC29" s="659"/>
      <c r="AD29" s="659"/>
      <c r="AE29" s="659"/>
      <c r="AF29" s="659"/>
      <c r="AG29" s="659"/>
      <c r="AH29" s="659"/>
      <c r="AI29" s="659"/>
      <c r="AJ29" s="659"/>
      <c r="AK29" s="659"/>
      <c r="AL29" s="659"/>
      <c r="AM29" s="659"/>
      <c r="AN29" s="659"/>
      <c r="AO29" s="659"/>
      <c r="AP29" s="265"/>
      <c r="AQ29" s="74"/>
      <c r="AR29" s="74"/>
      <c r="AS29" s="74"/>
      <c r="AT29" s="299"/>
    </row>
    <row r="30" spans="1:52" ht="23.25" customHeight="1">
      <c r="A30" s="212"/>
      <c r="B30" s="678" t="str">
        <f>'Translate&amp;Prices&amp;Logo'!$B$178</f>
        <v>Total price of frames</v>
      </c>
      <c r="C30" s="679"/>
      <c r="D30" s="679"/>
      <c r="E30" s="679"/>
      <c r="F30" s="679"/>
      <c r="G30" s="679"/>
      <c r="H30" s="679"/>
      <c r="I30" s="679"/>
      <c r="J30" s="679"/>
      <c r="K30" s="553"/>
      <c r="L30" s="654">
        <f>IF(OR((AI30&gt;AI43),(AR14&gt;AJ43)),"",((((AT11+AT13+AT15+AT17+AT33+AT35+AT37)*AT43)*(1-(Zakaznik!K21/100)))*AW24))</f>
        <v>0</v>
      </c>
      <c r="M30" s="654"/>
      <c r="N30" s="654"/>
      <c r="O30" s="654"/>
      <c r="P30" s="674" t="str">
        <f>VLOOKUP('Translate&amp;Prices&amp;Logo'!D1,'závěsy dle výklopu'!A204:B209,2,0)</f>
        <v>€</v>
      </c>
      <c r="Q30" s="675"/>
      <c r="R30" s="212"/>
      <c r="S30" s="668"/>
      <c r="T30" s="669"/>
      <c r="U30" s="669"/>
      <c r="V30" s="669"/>
      <c r="W30" s="669"/>
      <c r="X30" s="669"/>
      <c r="Y30" s="670"/>
      <c r="Z30" s="74"/>
      <c r="AA30" s="74"/>
      <c r="AB30" s="212"/>
      <c r="AC30" s="74"/>
      <c r="AD30" s="74"/>
      <c r="AE30" s="74"/>
      <c r="AF30" s="658" t="str">
        <f>'Translate&amp;Prices&amp;Logo'!$B$175</f>
        <v>Width</v>
      </c>
      <c r="AG30" s="658"/>
      <c r="AH30" s="658"/>
      <c r="AI30" s="653"/>
      <c r="AJ30" s="653"/>
      <c r="AK30" s="653"/>
      <c r="AL30" s="74"/>
      <c r="AM30" s="74"/>
      <c r="AN30" s="74"/>
      <c r="AO30" s="74"/>
      <c r="AP30" s="74"/>
      <c r="AQ30" s="74"/>
      <c r="AR30" s="74"/>
      <c r="AS30" s="74"/>
      <c r="AT30" s="299"/>
      <c r="AU30" s="291" t="e">
        <f>HLOOKUP("_Úzký_dolny_K12",kombinace_4!CV2:CW19,3,FALSE)</f>
        <v>#N/A</v>
      </c>
    </row>
    <row r="31" spans="1:52" ht="14.1" customHeight="1" thickBot="1">
      <c r="A31" s="212"/>
      <c r="B31" s="680"/>
      <c r="C31" s="681"/>
      <c r="D31" s="681"/>
      <c r="E31" s="681"/>
      <c r="F31" s="681"/>
      <c r="G31" s="681"/>
      <c r="H31" s="681"/>
      <c r="I31" s="681"/>
      <c r="J31" s="681"/>
      <c r="K31" s="684"/>
      <c r="L31" s="655"/>
      <c r="M31" s="655"/>
      <c r="N31" s="655"/>
      <c r="O31" s="655"/>
      <c r="P31" s="676"/>
      <c r="Q31" s="677"/>
      <c r="R31" s="212"/>
      <c r="S31" s="671"/>
      <c r="T31" s="672"/>
      <c r="U31" s="672"/>
      <c r="V31" s="672"/>
      <c r="W31" s="672"/>
      <c r="X31" s="672"/>
      <c r="Y31" s="673"/>
      <c r="Z31" s="74"/>
      <c r="AA31" s="254"/>
      <c r="AB31" s="245"/>
      <c r="AC31" s="245"/>
      <c r="AD31" s="254"/>
      <c r="AE31" s="254"/>
      <c r="AF31" s="254"/>
      <c r="AG31" s="254"/>
      <c r="AH31" s="254"/>
      <c r="AI31" s="439"/>
      <c r="AJ31" s="254"/>
      <c r="AK31" s="254"/>
      <c r="AL31" s="254"/>
      <c r="AM31" s="254"/>
      <c r="AN31" s="254"/>
      <c r="AO31" s="599" t="str">
        <f>'Translate&amp;Prices&amp;Logo'!$B$567</f>
        <v>Summary</v>
      </c>
      <c r="AP31" s="599"/>
      <c r="AQ31" s="599"/>
      <c r="AR31" s="599"/>
      <c r="AS31" s="74"/>
      <c r="AT31" s="299"/>
      <c r="AU31" s="291" t="str">
        <f>AD44</f>
        <v>_Široký_</v>
      </c>
    </row>
    <row r="32" spans="1:52" ht="17.25" customHeight="1">
      <c r="A32" s="212"/>
      <c r="B32" s="641" t="str">
        <f>'Translate&amp;Prices&amp;Logo'!$B$171</f>
        <v>Prices shown are VAT-free and do not include price of the fittings required!</v>
      </c>
      <c r="C32" s="641"/>
      <c r="D32" s="641"/>
      <c r="E32" s="641"/>
      <c r="F32" s="641"/>
      <c r="G32" s="641"/>
      <c r="H32" s="641"/>
      <c r="I32" s="641"/>
      <c r="J32" s="641"/>
      <c r="K32" s="641"/>
      <c r="L32" s="641"/>
      <c r="M32" s="641"/>
      <c r="N32" s="641"/>
      <c r="O32" s="641"/>
      <c r="P32" s="641"/>
      <c r="Q32" s="641"/>
      <c r="R32" s="212"/>
      <c r="S32" s="74"/>
      <c r="T32" s="74"/>
      <c r="U32" s="74"/>
      <c r="V32" s="74"/>
      <c r="W32" s="74"/>
      <c r="X32" s="74"/>
      <c r="Y32" s="74"/>
      <c r="Z32" s="74"/>
      <c r="AA32" s="74"/>
      <c r="AB32" s="212"/>
      <c r="AC32" s="74"/>
      <c r="AD32" s="74"/>
      <c r="AE32" s="74"/>
      <c r="AF32" s="74"/>
      <c r="AG32" s="74"/>
      <c r="AH32" s="74"/>
      <c r="AI32" s="74"/>
      <c r="AJ32" s="74"/>
      <c r="AK32" s="74"/>
      <c r="AL32" s="74"/>
      <c r="AM32" s="74"/>
      <c r="AN32" s="74"/>
      <c r="AO32" s="599"/>
      <c r="AP32" s="599"/>
      <c r="AQ32" s="599"/>
      <c r="AR32" s="599"/>
      <c r="AS32" s="212"/>
      <c r="AT32" s="299"/>
    </row>
    <row r="33" spans="1:58" ht="34.5" customHeight="1">
      <c r="A33" s="212"/>
      <c r="B33" s="664" t="str">
        <f>'Translate&amp;Prices&amp;Logo'!$B$641</f>
        <v>Frames without glass are delivered disassembled.</v>
      </c>
      <c r="C33" s="664"/>
      <c r="D33" s="664"/>
      <c r="E33" s="664"/>
      <c r="F33" s="664"/>
      <c r="G33" s="664"/>
      <c r="H33" s="664"/>
      <c r="I33" s="664"/>
      <c r="J33" s="664"/>
      <c r="K33" s="664"/>
      <c r="L33" s="664" t="str">
        <f>IF(OR((AI30&gt;AI43),(AR14&gt;AJ43)),'Translate&amp;Prices&amp;Logo'!B691,"")</f>
        <v/>
      </c>
      <c r="M33" s="664"/>
      <c r="N33" s="664"/>
      <c r="O33" s="664"/>
      <c r="P33" s="664"/>
      <c r="Q33" s="664"/>
      <c r="R33" s="664"/>
      <c r="S33" s="664"/>
      <c r="T33" s="408"/>
      <c r="U33" s="408"/>
      <c r="V33" s="408"/>
      <c r="W33" s="408"/>
      <c r="X33" s="408"/>
      <c r="Y33" s="408"/>
      <c r="Z33" s="408"/>
      <c r="AA33" s="408"/>
      <c r="AB33" s="408"/>
      <c r="AC33" s="408"/>
      <c r="AD33" s="74"/>
      <c r="AE33" s="74"/>
      <c r="AF33" s="301"/>
      <c r="AG33" s="74"/>
      <c r="AJ33" s="74"/>
      <c r="AK33" s="74"/>
      <c r="AL33" s="74"/>
      <c r="AM33" s="74"/>
      <c r="AN33" s="74"/>
      <c r="AO33" s="74"/>
      <c r="AP33" s="74"/>
      <c r="AQ33" s="74"/>
      <c r="AR33" s="74"/>
      <c r="AS33" s="212"/>
      <c r="AT33" s="299">
        <f>IF(kombinace_4!V1=2,((AR14/1000)*(AI30/1000))*'Translate&amp;Prices&amp;Logo'!C94,0)</f>
        <v>0</v>
      </c>
    </row>
    <row r="34" spans="1:58" s="301" customFormat="1" ht="36.75" customHeight="1">
      <c r="A34" s="302"/>
      <c r="B34" s="664"/>
      <c r="C34" s="664"/>
      <c r="D34" s="664"/>
      <c r="E34" s="664"/>
      <c r="F34" s="664"/>
      <c r="G34" s="664"/>
      <c r="H34" s="664"/>
      <c r="I34" s="664"/>
      <c r="J34" s="664"/>
      <c r="K34" s="664"/>
      <c r="L34" s="664"/>
      <c r="M34" s="664"/>
      <c r="N34" s="664"/>
      <c r="O34" s="664"/>
      <c r="P34" s="664"/>
      <c r="Q34" s="664"/>
      <c r="R34" s="664"/>
      <c r="S34" s="664"/>
      <c r="V34" s="687"/>
      <c r="W34" s="687"/>
      <c r="AS34" s="300"/>
      <c r="AT34" s="300"/>
      <c r="AW34" s="408"/>
      <c r="AX34" s="408"/>
      <c r="AY34" s="408"/>
      <c r="AZ34" s="408"/>
      <c r="BA34" s="408"/>
      <c r="BB34" s="408"/>
      <c r="BC34" s="408"/>
      <c r="BD34" s="408"/>
      <c r="BE34" s="408"/>
      <c r="BF34" s="408"/>
    </row>
    <row r="35" spans="1:58" ht="15" hidden="1" customHeight="1">
      <c r="B35" s="264"/>
      <c r="R35" s="293"/>
      <c r="S35" s="293"/>
      <c r="T35" s="302"/>
      <c r="AD35" s="264"/>
      <c r="AE35" s="264"/>
      <c r="AN35" s="301"/>
      <c r="AO35" s="301"/>
      <c r="AP35" s="301"/>
      <c r="AQ35" s="301"/>
      <c r="AS35" s="299"/>
      <c r="AT35" s="299">
        <f>IF(kombinace_4!$V$1=3,IFERROR(((VLOOKUP(H24,'Translate&amp;Prices&amp;Logo'!B91:C93,2,0))*(AR14/1000)),0),0)</f>
        <v>0</v>
      </c>
      <c r="AV35" s="431" t="s">
        <v>4597</v>
      </c>
      <c r="AW35" s="432"/>
      <c r="AX35" s="432"/>
      <c r="AY35" s="408"/>
    </row>
    <row r="36" spans="1:58" s="310" customFormat="1" ht="18.600000000000001" hidden="1" customHeight="1">
      <c r="A36" s="302"/>
      <c r="B36" s="310" t="str" cm="1">
        <f t="array" ref="B36:B91">IF(kombinace_4!FC2=TRUE,_profily_síťka,IF(kombinace_4!H1=TRUE,_kombinovane_profily,_vše_profily))</f>
        <v>BRW (elox.) - maximum profile length 2500 mm</v>
      </c>
      <c r="L36" s="310" t="str">
        <f t="array" ref="L36:M36">IF(kombinace_4!H1=TRUE,'závěsy dle výklopu'!$BQ$2:$BR$2,
IF(H8=kombinace_4!A34,'závěsy dle výklopu'!$BQ$2,IF(H8=kombinace_4!A35,'závěsy dle výklopu'!$BQ$2,IF(H8=kombinace_4!A55,'závěsy dle výklopu'!$BQ$2,IF(H8=kombinace_4!A56,'závěsy dle výklopu'!$BQ$2,IF(H8=kombinace_4!A57,'závěsy dle výklopu'!$BQ$2,IF(H8=kombinace_4!A58,'závěsy dle výklopu'!$BQ$2,'závěsy dle výklopu'!$BQ$2:$BR$2)))))))</f>
        <v>Hinges</v>
      </c>
      <c r="M36" s="310" t="str">
        <v>Hinges</v>
      </c>
      <c r="P36" s="310" t="str" cm="1">
        <f t="array" ref="P36:P38">IF(H13=kombinace_4!BQ11,kombinace_4!$DN$2,kombinace_4!$DN$2:$DN$4)</f>
        <v>Overlay</v>
      </c>
      <c r="T36" s="310">
        <f t="array" aca="1" ref="T36:T44" ca="1">IF(H13=kombinace_4!BQ11,
  kombinace_4!$FA$2:$FA$9,
  IF(AND(OR(H8=kombinace_4!A34,H8=kombinace_4!A35),H13='závěsy dle výklopu'!BQ4),
    INDIRECT(VLOOKUP(AD42&amp;"_Rocca",kombinace_4!$ER$1:$ES$108,2,0)),
    IF($AU$9=2,
      INDIRECT(VLOOKUP(AD42,kombinace_4!$ER$1:$ES$108,2,0)),
      IF($AU$9=3,
        INDIRECT(VLOOKUP($T$47,kombinace_4!$AA$1:$AB$100,2,0)),
      $Y$48)
    )
  )
)</f>
        <v>0</v>
      </c>
      <c r="AF36" s="310" t="e">
        <f>HLOOKUP($AD$44,'závěsy dle výklopu'!$CG$4:$EZ$10,2,0)</f>
        <v>#N/A</v>
      </c>
      <c r="AJ36" s="310">
        <f t="array" ref="AJ36:AJ40">IF(AM19&lt;2100,kombinace_4!BY8:BY12,kombinace_4!BY8:BY12)</f>
        <v>2</v>
      </c>
      <c r="AW36" s="408"/>
      <c r="AX36" s="408"/>
      <c r="AY36" s="408"/>
    </row>
    <row r="37" spans="1:58" s="310" customFormat="1" ht="15" hidden="1" customHeight="1">
      <c r="A37" s="293"/>
      <c r="B37" s="310" t="str">
        <v>BRW white matt RAL 9003 - maximum profile length 2500 mm</v>
      </c>
      <c r="P37" s="310" t="str">
        <v>Half-overlay</v>
      </c>
      <c r="T37" s="310">
        <f ca="1"/>
        <v>0</v>
      </c>
      <c r="W37" s="310" t="str" cm="1">
        <f t="array" ref="W37:W38">IF(Hlavní!$V$39=3,"",'Translate&amp;Prices&amp;Logo'!B556:B557)</f>
        <v>Yes</v>
      </c>
      <c r="AD37" s="311"/>
      <c r="AF37" s="310" t="e">
        <f>HLOOKUP($AD$44,'závěsy dle výklopu'!$CG$4:$EZ$10,3,0)</f>
        <v>#N/A</v>
      </c>
      <c r="AJ37" s="310">
        <v>3</v>
      </c>
      <c r="AS37" s="310" t="s">
        <v>5</v>
      </c>
      <c r="AT37" s="310">
        <f>IFERROR((VLOOKUP(H25,'Translate&amp;Prices&amp;Logo'!B99:C167,2,0))*((AI30/1000)*(AR14/1000)),0)</f>
        <v>0</v>
      </c>
      <c r="AW37" s="408"/>
      <c r="AX37" s="408"/>
      <c r="AY37" s="408"/>
    </row>
    <row r="38" spans="1:58" s="310" customFormat="1" ht="18.600000000000001" hidden="1" customHeight="1">
      <c r="A38" s="293"/>
      <c r="B38" s="310" t="str">
        <v>BRW white gloss RAL 9003 - maximum profile length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str">
        <v>Inset</v>
      </c>
      <c r="T38" s="310">
        <f ca="1"/>
        <v>0</v>
      </c>
      <c r="W38" s="310" t="str">
        <v>No</v>
      </c>
      <c r="AD38" s="311"/>
      <c r="AE38" s="310" t="e">
        <f t="shared" ref="AE38:AE40" si="0">AF38</f>
        <v>#N/A</v>
      </c>
      <c r="AF38" s="310" t="e">
        <f>HLOOKUP($AD$44,'závěsy dle výklopu'!$CG$4:$EZ$10,4,0)</f>
        <v>#N/A</v>
      </c>
      <c r="AJ38" s="310">
        <v>4</v>
      </c>
      <c r="AW38" s="408"/>
      <c r="AX38" s="408"/>
      <c r="AY38" s="408"/>
    </row>
    <row r="39" spans="1:58" s="310" customFormat="1" ht="15" hidden="1" customHeight="1">
      <c r="A39" s="293"/>
      <c r="B39" s="310" t="str">
        <v>BRW brushed - maximum profile length 2500 mm</v>
      </c>
      <c r="L39" s="310" t="str">
        <v>ITALIANA ferramenta</v>
      </c>
      <c r="T39" s="310">
        <f ca="1"/>
        <v>0</v>
      </c>
      <c r="AD39" s="311"/>
      <c r="AE39" s="310" t="e">
        <f t="shared" si="0"/>
        <v>#N/A</v>
      </c>
      <c r="AF39" s="310" t="e">
        <f>HLOOKUP($AD$44,'závěsy dle výklopu'!$CG$4:$EZ$10,5,0)</f>
        <v>#N/A</v>
      </c>
      <c r="AJ39" s="310">
        <v>5</v>
      </c>
      <c r="AS39" s="310" t="s">
        <v>2162</v>
      </c>
      <c r="AW39" s="408"/>
      <c r="AX39" s="408"/>
      <c r="AY39" s="408"/>
    </row>
    <row r="40" spans="1:58" s="310" customFormat="1" ht="18.600000000000001" hidden="1" customHeight="1">
      <c r="A40" s="293"/>
      <c r="B40" s="310" t="str">
        <v>BRW black matt - maximum profile length 2500 mm</v>
      </c>
      <c r="L40" s="310" t="str">
        <v>StrongLift</v>
      </c>
      <c r="T40" s="310">
        <f ca="1"/>
        <v>0</v>
      </c>
      <c r="AE40" s="310" t="e">
        <f t="shared" si="0"/>
        <v>#N/A</v>
      </c>
      <c r="AF40" s="310" t="e">
        <f>HLOOKUP($AD$44,'závěsy dle výklopu'!$CG$4:$EZ$10,6,0)</f>
        <v>#N/A</v>
      </c>
      <c r="AJ40" s="310">
        <v>6</v>
      </c>
      <c r="AW40" s="408"/>
      <c r="AX40" s="408"/>
      <c r="AY40" s="408"/>
    </row>
    <row r="41" spans="1:58" s="310" customFormat="1" ht="15" hidden="1" customHeight="1">
      <c r="A41" s="293"/>
      <c r="B41" s="310" t="str">
        <v>BRW black brushed - maximum profile length 2500 mm</v>
      </c>
      <c r="L41" s="310" t="str">
        <v xml:space="preserve">Kesseböhmer </v>
      </c>
      <c r="T41" s="310">
        <f ca="1"/>
        <v>0</v>
      </c>
      <c r="U41" s="310">
        <f>IF(Hlavní!$V$39=3,1,2)</f>
        <v>2</v>
      </c>
      <c r="AE41" s="310">
        <f>AF41</f>
        <v>0</v>
      </c>
      <c r="AH41" s="434"/>
      <c r="AI41" s="435" t="s">
        <v>4588</v>
      </c>
      <c r="AJ41" s="435" t="s">
        <v>4589</v>
      </c>
      <c r="AS41" s="310" t="s">
        <v>2163</v>
      </c>
      <c r="AW41" s="408"/>
      <c r="AX41" s="408"/>
      <c r="AY41" s="408"/>
    </row>
    <row r="42" spans="1:58" s="310" customFormat="1" ht="18.600000000000001" hidden="1" customHeight="1">
      <c r="A42" s="293"/>
      <c r="B42" s="310" t="str">
        <v>BRW Light Stainless Steel (ACIER GRATA) - maximum profile length 2500 mm</v>
      </c>
      <c r="L42" s="310" t="str">
        <v>Hettich</v>
      </c>
      <c r="T42" s="310">
        <f ca="1"/>
        <v>0</v>
      </c>
      <c r="AD42" s="310" t="e">
        <f>CONCATENATE("_",AV7,"_",H13,"_",AA29)</f>
        <v>#N/A</v>
      </c>
      <c r="AG42" s="433">
        <v>42</v>
      </c>
      <c r="AH42" s="434"/>
      <c r="AI42" s="436"/>
      <c r="AJ42" s="436"/>
      <c r="AW42" s="408"/>
      <c r="AX42" s="408"/>
      <c r="AY42" s="408"/>
    </row>
    <row r="43" spans="1:58" s="310" customFormat="1" ht="15" hidden="1" customHeight="1">
      <c r="A43" s="293"/>
      <c r="B43" s="310" t="str">
        <v>BRW anthracite RAL 7021 - maximum profile length 2500 mm</v>
      </c>
      <c r="T43" s="310">
        <f ca="1"/>
        <v>0</v>
      </c>
      <c r="AG43" s="433">
        <v>43</v>
      </c>
      <c r="AH43" s="434"/>
      <c r="AI43" s="437">
        <f>IF(H12='Translate&amp;Prices&amp;Logo'!B181,VLOOKUP(H8,'Translate&amp;Prices&amp;Logo'!B:V,21,0),AJ43)</f>
        <v>0</v>
      </c>
      <c r="AJ43" s="437">
        <f>VLOOKUP(H8,'Translate&amp;Prices&amp;Logo'!B:U,20,0)</f>
        <v>0</v>
      </c>
      <c r="AK43" s="310" t="s">
        <v>4587</v>
      </c>
      <c r="AS43" s="310" t="s">
        <v>2164</v>
      </c>
      <c r="AT43" s="310">
        <f>H28</f>
        <v>0</v>
      </c>
      <c r="AW43" s="408"/>
      <c r="AX43" s="408"/>
      <c r="AY43" s="408"/>
    </row>
    <row r="44" spans="1:58" s="310" customFormat="1" ht="18.600000000000001" hidden="1" customHeight="1">
      <c r="A44" s="293"/>
      <c r="B44" s="310" t="str">
        <v>BRW champagne - maximum profile length 2500 mm</v>
      </c>
      <c r="M44" s="310" t="s">
        <v>3532</v>
      </c>
      <c r="N44" s="310" t="s">
        <v>1981</v>
      </c>
      <c r="T44" s="310">
        <f ca="1"/>
        <v>0</v>
      </c>
      <c r="AD44" s="310" t="str">
        <f>CONCATENATE("_",AV7,"_",H15)</f>
        <v>_Široký_</v>
      </c>
      <c r="AG44" s="433">
        <v>44</v>
      </c>
      <c r="AH44" s="434"/>
      <c r="AI44" s="438"/>
      <c r="AJ44" s="438"/>
      <c r="AW44" s="408"/>
      <c r="AX44" s="408"/>
      <c r="AY44" s="408"/>
    </row>
    <row r="45" spans="1:58" s="310" customFormat="1" ht="14.85" hidden="1" customHeight="1">
      <c r="A45" s="293"/>
      <c r="B45" s="310" t="str">
        <v>BRW champagne light - maximum profile length 2500 mm</v>
      </c>
      <c r="M45" s="310" t="s">
        <v>3533</v>
      </c>
      <c r="N45" s="310" t="s">
        <v>1981</v>
      </c>
      <c r="AS45" s="286"/>
      <c r="AW45" s="408"/>
      <c r="AX45" s="408"/>
      <c r="AY45" s="408"/>
    </row>
    <row r="46" spans="1:58" s="310" customFormat="1" ht="14.85" hidden="1" customHeight="1">
      <c r="A46" s="293"/>
      <c r="B46" s="310" t="str">
        <v>BRW brown - maximum profile length 2500 mm</v>
      </c>
      <c r="M46" s="310" t="s">
        <v>5434</v>
      </c>
    </row>
    <row r="47" spans="1:58" s="310" customFormat="1" ht="14.85" hidden="1" customHeight="1">
      <c r="A47" s="293"/>
      <c r="B47" s="310" t="str">
        <v>BRW dark stainless steel - maximum profile length 2500 mm</v>
      </c>
      <c r="M47" s="310" t="s">
        <v>5435</v>
      </c>
      <c r="T47" s="310" t="str">
        <f>CONCATENATE(H13,"_",VLOOKUP(kombinace_4!H1,kombinace_4!$J$14:$K$15,2,0))</f>
        <v>_2</v>
      </c>
      <c r="AI47" s="264"/>
      <c r="AJ47" s="430"/>
      <c r="AN47" s="595"/>
      <c r="AO47" s="595"/>
      <c r="AP47" s="595"/>
      <c r="AQ47" s="595"/>
    </row>
    <row r="48" spans="1:58" s="310" customFormat="1" ht="14.85" hidden="1" customHeight="1">
      <c r="A48" s="293"/>
      <c r="B48" s="310" t="str">
        <v>BRW gold - maximum profile length 2500 mm</v>
      </c>
      <c r="T48" s="310" t="e">
        <f>VLOOKUP(AD42,kombinace_4!ER:ES,2,0)</f>
        <v>#N/A</v>
      </c>
      <c r="AS48"/>
      <c r="AT48"/>
    </row>
    <row r="49" spans="1:46" s="310" customFormat="1" ht="14.85" hidden="1" customHeight="1">
      <c r="A49" s="293"/>
      <c r="B49" s="310" t="str">
        <v>BRW arany csiszolt - maximum profile length 2500 mm</v>
      </c>
      <c r="AS49"/>
      <c r="AT49"/>
    </row>
    <row r="50" spans="1:46" s="310" customFormat="1" ht="14.85" hidden="1" customHeight="1">
      <c r="A50" s="293"/>
      <c r="B50" s="310" t="str">
        <v>Corleone (elox.) - maximum profile length 1500 mm</v>
      </c>
      <c r="AS50"/>
      <c r="AT50"/>
    </row>
    <row r="51" spans="1:46" s="310" customFormat="1" ht="14.85" hidden="1" customHeight="1">
      <c r="A51" s="293"/>
      <c r="B51" s="310" t="str">
        <v>Corleone black matt - maximum profile length 1500 mm</v>
      </c>
      <c r="AS51"/>
      <c r="AT51"/>
    </row>
    <row r="52" spans="1:46" s="310" customFormat="1" ht="14.85" hidden="1" customHeight="1">
      <c r="A52" s="293"/>
      <c r="B52" s="310" t="str">
        <v>ASTI black matt - maximum profile length 2150 mm</v>
      </c>
      <c r="AS52"/>
      <c r="AT52"/>
    </row>
    <row r="53" spans="1:46" s="310" customFormat="1" ht="14.85" hidden="1" customHeight="1">
      <c r="A53" s="293"/>
      <c r="B53" s="310" t="str">
        <v>ASTI anthracite RAL 7021 matt - maximum profile length 2500 mm</v>
      </c>
      <c r="AS53"/>
      <c r="AT53"/>
    </row>
    <row r="54" spans="1:46" s="310" customFormat="1" ht="14.85" hidden="1" customHeight="1">
      <c r="A54" s="293"/>
      <c r="B54" s="310" t="str">
        <v>Imola (elox.) - maximum profile length 2500 mm</v>
      </c>
      <c r="K54" s="310" t="str">
        <f t="array" ref="K54:K58">IF(OR($H$15=kombinace_4!AB40,$H$15=kombinace_4!AB7,$H$15=kombinace_4!AB15,$H$15=kombinace_4!AB20,$H$15=kombinace_4!AB21,$H$15=kombinace_4!AB22),'Translate&amp;Prices&amp;Logo'!$B$229:$B$231,IF($H$15=kombinace_4!AB41,'Translate&amp;Prices&amp;Logo'!$B$229:$B$231,'Translate&amp;Prices&amp;Logo'!$B$233:$B$237))</f>
        <v>Narrow ALU Frame</v>
      </c>
      <c r="Q54" s="310" t="str">
        <f>'Translate&amp;Prices&amp;Logo'!B227</f>
        <v>Top</v>
      </c>
      <c r="T54" s="310" t="str">
        <f t="array" ref="T54:T56">kombinace_4!$EN$3:$EN$5</f>
        <v>Not treated</v>
      </c>
      <c r="U54" s="310">
        <v>1</v>
      </c>
      <c r="X54" s="310" t="str">
        <f t="array" ref="X54:X56">kombinace_4!$X$3:$X$5</f>
        <v>Transparent</v>
      </c>
      <c r="AD54" s="310" t="str">
        <f t="array" aca="1" ref="AD54:AD97" ca="1">IF(kombinace_4!FC2=FALSE,
IF(OR(H8=kombinace_4!A17,H8=kombinace_4!A18,H8=kombinace_4!A25,H8=kombinace_4!A26,H8=kombinace_4!A27,H8=kombinace_4!A28),_corleone,INDIRECT(kombinace_4!S1)),
IF(kombinace_4!FC2=TRUE,INDIRECT(VLOOKUP(Ram_1!H8,'závěsy dle výklopu'!A81:B92,2,0)),0))</f>
        <v>Transparent</v>
      </c>
      <c r="AS54"/>
      <c r="AT54"/>
    </row>
    <row r="55" spans="1:46" s="310" customFormat="1" ht="14.85" hidden="1" customHeight="1">
      <c r="A55" s="293"/>
      <c r="B55" s="310" t="str">
        <v>Imola black matt - maximum profile length 2500 mm</v>
      </c>
      <c r="K55" s="310" t="str">
        <v>Wide ALU Frame</v>
      </c>
      <c r="Q55" s="310" t="str">
        <f>'Translate&amp;Prices&amp;Logo'!B228</f>
        <v>Bottom</v>
      </c>
      <c r="T55" s="310" t="str">
        <v>Harded (delivery is 4 weeks)</v>
      </c>
      <c r="U55" s="310">
        <v>2</v>
      </c>
      <c r="X55" s="310" t="str">
        <v>White</v>
      </c>
      <c r="AD55" s="310" t="str">
        <f ca="1"/>
        <v>Satinato</v>
      </c>
      <c r="AS55"/>
      <c r="AT55"/>
    </row>
    <row r="56" spans="1:46" s="310" customFormat="1" ht="14.85" hidden="1" customHeight="1">
      <c r="A56" s="293"/>
      <c r="B56" s="310" t="str">
        <v>Imola white matt RAL 9003 - maximum profile length 2500 mm</v>
      </c>
      <c r="K56" s="310" t="str">
        <v xml:space="preserve">MDF 16 mm </v>
      </c>
      <c r="Q56" s="310" t="str">
        <f>'Translate&amp;Prices&amp;Logo'!B229</f>
        <v>Right</v>
      </c>
      <c r="T56" s="310" t="str">
        <v>Foil</v>
      </c>
      <c r="U56" s="310">
        <v>3</v>
      </c>
      <c r="X56" s="310" t="str">
        <v>Black</v>
      </c>
      <c r="AD56" s="310" t="str">
        <f ca="1"/>
        <v>Satinato brown / Decormat Braz</v>
      </c>
    </row>
    <row r="57" spans="1:46" s="310" customFormat="1" ht="14.85" hidden="1" customHeight="1">
      <c r="A57" s="293"/>
      <c r="B57" s="310" t="str">
        <v>Imola gold - maximum profile length 2150 mm</v>
      </c>
      <c r="K57" s="310" t="str">
        <v xml:space="preserve">MDF 18 mm </v>
      </c>
      <c r="Q57" s="310" t="str">
        <f>'Translate&amp;Prices&amp;Logo'!B230</f>
        <v>Left</v>
      </c>
      <c r="AD57" s="310" t="str">
        <f ca="1"/>
        <v>Satinato graphite  / Decormat grafit</v>
      </c>
    </row>
    <row r="58" spans="1:46" s="310" customFormat="1" ht="14.85" hidden="1" customHeight="1">
      <c r="A58" s="293"/>
      <c r="B58" s="310" t="str">
        <v>Modena (elox.) - maximum profile length 2500 mm</v>
      </c>
      <c r="K58" s="310" t="str">
        <v>DTDL 18 mm</v>
      </c>
      <c r="AD58" s="310" t="str">
        <f ca="1"/>
        <v>MASTER SOFT</v>
      </c>
    </row>
    <row r="59" spans="1:46" s="310" customFormat="1" ht="14.85" hidden="1" customHeight="1">
      <c r="A59" s="293"/>
      <c r="B59" s="310" t="str">
        <v>Modena black matt - maximum profile length 2500 mm</v>
      </c>
      <c r="T59" s="310">
        <f>IFERROR(VLOOKUP($H$21,$T$54:$U$56,2,0),0)</f>
        <v>0</v>
      </c>
      <c r="AD59" s="310" t="str">
        <f ca="1"/>
        <v>MASTER FLEX</v>
      </c>
    </row>
    <row r="60" spans="1:46" s="310" customFormat="1" ht="14.85" hidden="1" customHeight="1">
      <c r="A60" s="293"/>
      <c r="B60" s="310" t="str">
        <v>black black brushed - maximum profile length 2500 mm</v>
      </c>
      <c r="K60" s="310" t="b">
        <f>K56=K61</f>
        <v>0</v>
      </c>
      <c r="AD60" s="310" t="str">
        <f ca="1"/>
        <v>Master (Carre)</v>
      </c>
    </row>
    <row r="61" spans="1:46" s="310" customFormat="1" ht="14.85" hidden="1" customHeight="1">
      <c r="A61" s="293"/>
      <c r="B61" s="310" t="str">
        <v>Modena dark stainless steel brushed - maximum profile length 2500 mm</v>
      </c>
      <c r="H61" s="310" t="str">
        <f>'Translate&amp;Prices&amp;Logo'!$B$186</f>
        <v>Bottom door</v>
      </c>
      <c r="K61" s="310" t="str">
        <f>'Translate&amp;Prices&amp;Logo'!$B$231</f>
        <v>2 Pieces (both sides)</v>
      </c>
      <c r="AD61" s="310" t="str">
        <f ca="1"/>
        <v>Master  Ligne horizontal</v>
      </c>
    </row>
    <row r="62" spans="1:46" s="310" customFormat="1" ht="14.85" hidden="1" customHeight="1">
      <c r="A62" s="293"/>
      <c r="B62" s="310" t="str">
        <v>Pisa (elox.) - maximum profile length 2500 mm</v>
      </c>
      <c r="AD62" s="310" t="str">
        <f ca="1"/>
        <v>Master  Ligne vertical</v>
      </c>
    </row>
    <row r="63" spans="1:46" s="310" customFormat="1" ht="14.85" hidden="1" customHeight="1">
      <c r="A63" s="293"/>
      <c r="B63" s="310" t="str">
        <v>Pisa white matt RAL 9003 - maximum profile length 2500 mm</v>
      </c>
      <c r="AD63" s="310" t="str">
        <f ca="1"/>
        <v>Master Point</v>
      </c>
    </row>
    <row r="64" spans="1:46" s="310" customFormat="1" ht="14.85" hidden="1" customHeight="1">
      <c r="A64" s="293"/>
      <c r="B64" s="310" t="str">
        <v>Pisa white gloss RAL 9003 - maximum profile length 2500 mm</v>
      </c>
      <c r="AD64" s="310" t="str">
        <f ca="1"/>
        <v>Masterscreen - maximum possible size 2160 x 1650 mm</v>
      </c>
    </row>
    <row r="65" spans="1:30" s="310" customFormat="1" ht="14.85" hidden="1" customHeight="1">
      <c r="A65" s="293"/>
      <c r="B65" s="310" t="str">
        <v>Pisa black matt - maximum profile length 2500 mm</v>
      </c>
      <c r="H65" s="167" t="str">
        <f>'rozpad závěsů bez prázdn. řádků'!$K$1</f>
        <v>cross screw</v>
      </c>
      <c r="I65" s="312">
        <v>6</v>
      </c>
      <c r="J65" s="166" t="e">
        <f>VLOOKUP($H$15,'rozpad závěsů bez prázdn. řádků'!$G$2:$X$66,I65,0)</f>
        <v>#N/A</v>
      </c>
      <c r="O65" s="310" t="str">
        <f t="array" ref="O65:O71">IF($H$15=kombinace_4!$AB$40,_strong_vzpera_horni,IF($H$15=kombinace_4!$AB$41,_stronglift_klopna,IF($H$12='závěsy dle výklopu'!$BQ$2,$J$65:$J$71,'Translate&amp;Prices&amp;Logo'!$B$185:$B$186)))</f>
        <v>Top door</v>
      </c>
      <c r="AD65" s="310" t="str">
        <f ca="1"/>
        <v>Venus VG10</v>
      </c>
    </row>
    <row r="66" spans="1:30" s="310" customFormat="1" ht="14.85" hidden="1" customHeight="1">
      <c r="A66" s="293"/>
      <c r="B66" s="310" t="str">
        <v>Pisa gold - maximum profile length 2150 mm</v>
      </c>
      <c r="H66" s="167" t="str">
        <f>'rozpad závěsů bez prázdn. řádků'!$M$1</f>
        <v>on screw (w/ cam adjust)</v>
      </c>
      <c r="I66" s="312">
        <v>8</v>
      </c>
      <c r="J66" s="166" t="e">
        <f>VLOOKUP($H$15,'rozpad závěsů bez prázdn. řádků'!$G$2:$X$66,I66,0)</f>
        <v>#N/A</v>
      </c>
      <c r="O66" s="310" t="str">
        <v>Bottom door</v>
      </c>
      <c r="AD66" s="310" t="str">
        <f ca="1"/>
        <v>Stopsol bronze  - maximum possible size 2250 x 1605 mm</v>
      </c>
    </row>
    <row r="67" spans="1:30" s="310" customFormat="1" ht="14.85" hidden="1" customHeight="1">
      <c r="A67" s="293"/>
      <c r="B67" s="310" t="str">
        <v>Rocca (elox.) - maximum profile length 2150 mm</v>
      </c>
      <c r="H67" s="167" t="str">
        <f>'rozpad závěsů bez prázdn. řádků'!$O$1</f>
        <v>euroscrew</v>
      </c>
      <c r="I67" s="312">
        <v>10</v>
      </c>
      <c r="J67" s="166" t="e">
        <f>VLOOKUP($H$15,'rozpad závěsů bez prázdn. řádků'!$G$2:$X$66,I67,0)</f>
        <v>#N/A</v>
      </c>
      <c r="O67" s="310" t="e">
        <v>#N/A</v>
      </c>
      <c r="AD67" s="310" t="str">
        <f ca="1"/>
        <v>Antisol bronze</v>
      </c>
    </row>
    <row r="68" spans="1:30" s="310" customFormat="1" ht="14.85" hidden="1" customHeight="1">
      <c r="A68" s="293"/>
      <c r="B68" s="310" t="str">
        <v>Rocca black matt - maximum profile length 2150 mm</v>
      </c>
      <c r="H68" s="167" t="str">
        <f>'rozpad závěsů bez prázdn. řádků'!$Q$1</f>
        <v>expando</v>
      </c>
      <c r="I68" s="312">
        <v>12</v>
      </c>
      <c r="J68" s="166" t="e">
        <f>VLOOKUP($H$15,'rozpad závěsů bez prázdn. řádků'!$G$2:$X$66,I68,0)</f>
        <v>#N/A</v>
      </c>
      <c r="O68" s="310" t="e">
        <v>#N/A</v>
      </c>
      <c r="AD68" s="310" t="str">
        <f ca="1"/>
        <v>Antisol graphite</v>
      </c>
    </row>
    <row r="69" spans="1:30" s="310" customFormat="1" ht="14.85" hidden="1" customHeight="1">
      <c r="A69" s="293"/>
      <c r="B69" s="310" t="str">
        <v>Verona (elox.) - maximum profile length 2500 mm</v>
      </c>
      <c r="H69" s="167" t="str">
        <f>'rozpad závěsů bez prázdn. řádků'!$S$1</f>
        <v>direct screw</v>
      </c>
      <c r="I69" s="312">
        <v>14</v>
      </c>
      <c r="J69" s="166" t="e">
        <f>VLOOKUP($H$15,'rozpad závěsů bez prázdn. řádků'!$G$2:$X$66,I69,0)</f>
        <v>#N/A</v>
      </c>
      <c r="O69" s="310" t="e">
        <v>#N/A</v>
      </c>
      <c r="AD69" s="310" t="str">
        <f ca="1"/>
        <v>Mirror</v>
      </c>
    </row>
    <row r="70" spans="1:30" s="310" customFormat="1" ht="14.85" hidden="1" customHeight="1">
      <c r="A70" s="293"/>
      <c r="B70" s="310" t="str">
        <v>Verona brushed aluminium - maximum profile length 2500 mm</v>
      </c>
      <c r="H70" s="167" t="str">
        <f>'rozpad závěsů bez prázdn. řádků'!$U$1</f>
        <v>direct euroscrew</v>
      </c>
      <c r="I70" s="312">
        <v>16</v>
      </c>
      <c r="J70" s="166" t="e">
        <f>VLOOKUP($H$15,'rozpad závěsů bez prázdn. řádků'!$G$2:$X$66,I70,0)</f>
        <v>#N/A</v>
      </c>
      <c r="O70" s="310" t="e">
        <v>#N/A</v>
      </c>
      <c r="AD70" s="310" t="str">
        <f ca="1"/>
        <v>Mirror brown</v>
      </c>
    </row>
    <row r="71" spans="1:30" s="310" customFormat="1" ht="14.85" hidden="1" customHeight="1">
      <c r="A71" s="293"/>
      <c r="B71" s="310" t="str">
        <v>Verona black matt - maximum profile length 2500 mm</v>
      </c>
      <c r="H71" s="167" t="str">
        <f>'rozpad závěsů bez prázdn. řádků'!$W$1</f>
        <v>direct expando</v>
      </c>
      <c r="I71" s="312">
        <v>18</v>
      </c>
      <c r="J71" s="166" t="e">
        <f>VLOOKUP($H$15,'rozpad závěsů bez prázdn. řádků'!$G$2:$X$66,I71,0)</f>
        <v>#N/A</v>
      </c>
      <c r="O71" s="310" t="e">
        <v>#N/A</v>
      </c>
      <c r="AD71" s="310" t="str">
        <f ca="1"/>
        <v>Mirror black</v>
      </c>
    </row>
    <row r="72" spans="1:30" s="310" customFormat="1" ht="14.85" hidden="1" customHeight="1">
      <c r="A72" s="293"/>
      <c r="B72" s="310" t="str">
        <v>Verona black gloss - maximum profile length 2500 mm</v>
      </c>
      <c r="AD72" s="310" t="str">
        <f ca="1"/>
        <v>VISIOSUN horizont</v>
      </c>
    </row>
    <row r="73" spans="1:30" s="310" customFormat="1" ht="14.85" hidden="1" customHeight="1">
      <c r="A73" s="293"/>
      <c r="B73" s="310" t="str">
        <v>Verona brown - maximum profile length 2500 mm</v>
      </c>
      <c r="AD73" s="310" t="str">
        <f ca="1"/>
        <v>VISIOSUN vertical</v>
      </c>
    </row>
    <row r="74" spans="1:30" s="310" customFormat="1" ht="14.85" hidden="1" customHeight="1">
      <c r="A74" s="293"/>
      <c r="B74" s="310" t="str">
        <v>Verona champagne - maximum profile length 2500 mm</v>
      </c>
      <c r="AD74" s="310" t="str">
        <f ca="1"/>
        <v>VISIOSUN sateen horizont</v>
      </c>
    </row>
    <row r="75" spans="1:30" s="310" customFormat="1" ht="14.85" hidden="1" customHeight="1">
      <c r="A75" s="293"/>
      <c r="B75" s="310" t="str">
        <v>Verona dark stainless steel brushed - maximum profile length 2500 mm</v>
      </c>
      <c r="AD75" s="310" t="str">
        <f ca="1"/>
        <v>VISIOSUN sateen vertical</v>
      </c>
    </row>
    <row r="76" spans="1:30" s="310" customFormat="1" ht="14.85" hidden="1" customHeight="1">
      <c r="A76" s="293"/>
      <c r="B76" s="310" t="str">
        <v>Verona light stainless steel (Acier grata) - maximum profile length 2500 mm</v>
      </c>
      <c r="AD76" s="310" t="str">
        <f ca="1"/>
        <v>Krizet  - maximum possible size 2130 x 1650 mm</v>
      </c>
    </row>
    <row r="77" spans="1:30" s="310" customFormat="1" ht="14.85" hidden="1" customHeight="1">
      <c r="A77" s="293"/>
      <c r="B77" s="310" t="str">
        <v>Verona gold - maximum profile length 2150 mm</v>
      </c>
      <c r="AD77" s="310" t="str">
        <f ca="1"/>
        <v>FLUTES vertical</v>
      </c>
    </row>
    <row r="78" spans="1:30" s="310" customFormat="1" ht="14.85" hidden="1" customHeight="1">
      <c r="A78" s="293"/>
      <c r="B78" s="310" t="str">
        <v>Verona gold brushed - maximum profile length 2150 mm</v>
      </c>
      <c r="AD78" s="310" t="str">
        <f ca="1"/>
        <v>FLUTES horizont</v>
      </c>
    </row>
    <row r="79" spans="1:30" s="310" customFormat="1" ht="14.85" hidden="1" customHeight="1">
      <c r="A79" s="293"/>
      <c r="B79" s="310" t="str">
        <v>Vivaro (elox.) - maximum profile length 2500 mm</v>
      </c>
      <c r="AD79" s="310" t="str">
        <f ca="1"/>
        <v>Lacomatt</v>
      </c>
    </row>
    <row r="80" spans="1:30" s="310" customFormat="1" ht="14.85" hidden="1" customHeight="1">
      <c r="A80" s="293"/>
      <c r="B80" s="310" t="str">
        <v>Vivaro black matt - maximum profile length 2500 mm</v>
      </c>
      <c r="AD80" s="310" t="str">
        <f ca="1"/>
        <v>Lacobel RAL 1013</v>
      </c>
    </row>
    <row r="81" spans="1:38" s="310" customFormat="1" ht="14.85" hidden="1" customHeight="1">
      <c r="A81" s="293"/>
      <c r="B81" s="310" t="str">
        <v>Vivaro dark stainless steel - maximum profile length 2500 mm</v>
      </c>
      <c r="AD81" s="310" t="str">
        <f ca="1"/>
        <v>Lacobel RAL 1015</v>
      </c>
    </row>
    <row r="82" spans="1:38" s="310" customFormat="1" ht="14.85" hidden="1" customHeight="1">
      <c r="A82" s="293"/>
      <c r="B82" s="310" t="str">
        <v>Vivaro white matt RAL 9003 - maximum profile length 2500 mm</v>
      </c>
      <c r="P82" s="310" t="str" cm="1">
        <f t="array" ref="P82:P83">IF(OR(H8=kombinace_4!F14,H8=kombinace_4!F15,H8=kombinace_4!F16,H8=kombinace_4!F17,H8=kombinace_4!F18,H8=kombinace_4!F19,H8=kombinace_4!A55,H8=kombinace_4!A56,H8=kombinace_4!A57,H8=kombinace_4!A58),Q56:Q57,IF(H15=kombinace_4!AB8,_ramena_HL,Q54:Q57))</f>
        <v>Right</v>
      </c>
      <c r="AD82" s="310" t="str">
        <f ca="1"/>
        <v>Lacobel RAL 7035</v>
      </c>
    </row>
    <row r="83" spans="1:38" ht="14.85" hidden="1" customHeight="1">
      <c r="B83" s="291" t="str">
        <v>Vivaro white gloss RAL 9003 - maximum profile length 2500 mm</v>
      </c>
      <c r="C83" s="293"/>
      <c r="D83" s="293"/>
      <c r="E83" s="293"/>
      <c r="F83" s="293"/>
      <c r="G83" s="293"/>
      <c r="H83" s="293"/>
      <c r="I83" s="293"/>
      <c r="J83" s="293"/>
      <c r="K83" s="293"/>
      <c r="L83" s="293"/>
      <c r="M83" s="293"/>
      <c r="N83" s="293"/>
      <c r="O83" s="291"/>
      <c r="P83" s="293" t="str">
        <v>Left</v>
      </c>
      <c r="Q83" s="293"/>
      <c r="R83" s="293"/>
      <c r="S83" s="293"/>
      <c r="T83" s="302"/>
      <c r="U83" s="302"/>
      <c r="V83" s="302"/>
      <c r="W83" s="302"/>
      <c r="X83" s="302"/>
      <c r="Y83" s="303"/>
      <c r="Z83" s="303"/>
      <c r="AA83" s="303"/>
      <c r="AB83" s="303"/>
      <c r="AC83" s="301"/>
      <c r="AD83" s="301" t="str">
        <f ca="1"/>
        <v>Lacobel RAL 9003</v>
      </c>
      <c r="AE83" s="301"/>
      <c r="AF83" s="301"/>
      <c r="AG83" s="301"/>
      <c r="AH83" s="301"/>
      <c r="AI83" s="303"/>
      <c r="AJ83" s="303"/>
      <c r="AK83" s="303"/>
      <c r="AL83" s="303"/>
    </row>
    <row r="84" spans="1:38" ht="14.85" hidden="1" customHeight="1">
      <c r="B84" s="291" t="str">
        <v>Vivaro gold - maximum profile length 2150 mm</v>
      </c>
      <c r="C84" s="293"/>
      <c r="D84" s="293"/>
      <c r="E84" s="293"/>
      <c r="F84" s="293"/>
      <c r="G84" s="293"/>
      <c r="H84" s="293"/>
      <c r="I84" s="293"/>
      <c r="J84" s="293"/>
      <c r="K84" s="293"/>
      <c r="L84" s="293"/>
      <c r="M84" s="293"/>
      <c r="N84" s="293"/>
      <c r="O84" s="291"/>
      <c r="P84" s="293"/>
      <c r="Q84" s="293"/>
      <c r="R84" s="293"/>
      <c r="S84" s="293"/>
      <c r="T84" s="302"/>
      <c r="U84" s="302"/>
      <c r="V84" s="302"/>
      <c r="W84" s="302"/>
      <c r="X84" s="302"/>
      <c r="Y84" s="303"/>
      <c r="Z84" s="303"/>
      <c r="AA84" s="303"/>
      <c r="AB84" s="303"/>
      <c r="AC84" s="301"/>
      <c r="AD84" s="301" t="str">
        <f ca="1"/>
        <v>Lacobel RAL 9005</v>
      </c>
      <c r="AE84" s="301"/>
      <c r="AF84" s="301"/>
      <c r="AG84" s="301"/>
      <c r="AH84" s="301"/>
      <c r="AI84" s="303"/>
      <c r="AJ84" s="303"/>
      <c r="AK84" s="303"/>
      <c r="AL84" s="303"/>
    </row>
    <row r="85" spans="1:38" ht="14.85" hidden="1" customHeight="1">
      <c r="B85" s="291" t="str">
        <v>Vivaro gold brushed - maximum profile length 2150 mm</v>
      </c>
      <c r="C85" s="293"/>
      <c r="D85" s="293"/>
      <c r="E85" s="293"/>
      <c r="F85" s="293"/>
      <c r="G85" s="293"/>
      <c r="H85" s="293"/>
      <c r="I85" s="293"/>
      <c r="J85" s="293"/>
      <c r="K85" s="293"/>
      <c r="L85" s="293"/>
      <c r="M85" s="293"/>
      <c r="N85" s="293"/>
      <c r="O85" s="293"/>
      <c r="P85" s="293"/>
      <c r="Q85" s="293"/>
      <c r="R85" s="293"/>
      <c r="S85" s="293"/>
      <c r="T85" s="302"/>
      <c r="U85" s="302"/>
      <c r="V85" s="302"/>
      <c r="W85" s="302"/>
      <c r="X85" s="302"/>
      <c r="Y85" s="303"/>
      <c r="Z85" s="303"/>
      <c r="AA85" s="303"/>
      <c r="AB85" s="303"/>
      <c r="AC85" s="301"/>
      <c r="AD85" s="301" t="str">
        <f ca="1"/>
        <v>Lacobel RAL 9006</v>
      </c>
      <c r="AE85" s="301"/>
      <c r="AF85" s="301"/>
      <c r="AG85" s="301"/>
      <c r="AH85" s="301"/>
      <c r="AI85" s="303"/>
      <c r="AJ85" s="303"/>
      <c r="AK85" s="303"/>
      <c r="AL85" s="303"/>
    </row>
    <row r="86" spans="1:38" ht="14.85" hidden="1" customHeight="1">
      <c r="B86" s="291" t="str">
        <v>Rocca elox (Left and Right) + Varna elox (Top and Bottom)</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str">
        <f ca="1"/>
        <v>Lacobel RAL 9007</v>
      </c>
      <c r="AE86" s="301"/>
      <c r="AF86" s="301"/>
      <c r="AG86" s="301"/>
      <c r="AH86" s="301"/>
      <c r="AI86" s="303"/>
      <c r="AJ86" s="303"/>
      <c r="AK86" s="303"/>
      <c r="AL86" s="303"/>
    </row>
    <row r="87" spans="1:38" ht="14.85" hidden="1" customHeight="1">
      <c r="B87" s="291" t="str">
        <v>Rocca black (Left and right) + Varna black (Top and bottom)</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str">
        <f ca="1"/>
        <v>Lacobel RAL 9010</v>
      </c>
      <c r="AE87" s="301"/>
      <c r="AF87" s="301"/>
      <c r="AG87" s="301"/>
      <c r="AH87" s="301"/>
      <c r="AI87" s="303"/>
      <c r="AJ87" s="303"/>
      <c r="AK87" s="303"/>
      <c r="AL87" s="303"/>
    </row>
    <row r="88" spans="1:38" ht="14.85" hidden="1" customHeight="1">
      <c r="B88" s="291" t="str">
        <v>ROMA black matt  - maximum profile length 2696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str">
        <f ca="1"/>
        <v xml:space="preserve">Matelac RAL 9003 </v>
      </c>
      <c r="AE88" s="301"/>
      <c r="AF88" s="301"/>
      <c r="AG88" s="301"/>
      <c r="AH88" s="301"/>
      <c r="AI88" s="303"/>
      <c r="AJ88" s="303"/>
      <c r="AK88" s="303"/>
      <c r="AL88" s="303"/>
    </row>
    <row r="89" spans="1:38" ht="14.85" hidden="1" customHeight="1">
      <c r="B89" s="291" t="str">
        <v>ROMA champagne matt  - maximum profile length 2696 mm</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str">
        <f ca="1"/>
        <v xml:space="preserve">Matelac RAL 9005 </v>
      </c>
      <c r="AE89" s="301"/>
      <c r="AF89" s="301"/>
      <c r="AG89" s="301"/>
      <c r="AH89" s="301"/>
      <c r="AI89" s="303"/>
      <c r="AJ89" s="303"/>
      <c r="AK89" s="303"/>
      <c r="AL89" s="303"/>
    </row>
    <row r="90" spans="1:38" ht="14.85" hidden="1" customHeight="1">
      <c r="B90" s="291" t="str">
        <v>ROMA GRIP black matt  - maximum profile length 2696 mm</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str">
        <f ca="1"/>
        <v>Matelac mirror bronze</v>
      </c>
      <c r="AE90" s="301"/>
      <c r="AF90" s="301"/>
      <c r="AG90" s="301"/>
      <c r="AH90" s="301"/>
      <c r="AI90" s="303"/>
      <c r="AJ90" s="303"/>
      <c r="AK90" s="303"/>
      <c r="AL90" s="303"/>
    </row>
    <row r="91" spans="1:38" ht="14.85" hidden="1" customHeight="1">
      <c r="B91" s="291" t="str">
        <v>ROMA GRIP champagne matt  - maximum profile length 2696 mm</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str">
        <f ca="1"/>
        <v>Matelac mirror graphite</v>
      </c>
      <c r="AE91" s="301"/>
      <c r="AF91" s="301"/>
      <c r="AG91" s="301"/>
      <c r="AH91" s="301"/>
      <c r="AI91" s="303"/>
      <c r="AJ91" s="303"/>
      <c r="AK91" s="303"/>
      <c r="AL91" s="303"/>
    </row>
    <row r="92" spans="1:38" ht="14.85" hidden="1" customHeight="1">
      <c r="B92" s="291"/>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str">
        <f ca="1"/>
        <v>Matelac mirror silver.</v>
      </c>
      <c r="AE92" s="301"/>
      <c r="AF92" s="301"/>
      <c r="AG92" s="301"/>
      <c r="AH92" s="301"/>
      <c r="AI92" s="303"/>
      <c r="AJ92" s="303"/>
      <c r="AK92" s="303"/>
      <c r="AL92" s="303"/>
    </row>
    <row r="93" spans="1:38" ht="14.85" hidden="1" customHeight="1">
      <c r="B93" s="291"/>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str">
        <f ca="1"/>
        <v>Optiwhite</v>
      </c>
      <c r="AE93" s="301"/>
      <c r="AF93" s="301"/>
      <c r="AG93" s="301"/>
      <c r="AH93" s="301"/>
      <c r="AI93" s="303"/>
      <c r="AJ93" s="303"/>
      <c r="AK93" s="303"/>
      <c r="AL93" s="303"/>
    </row>
    <row r="94" spans="1:38" ht="14.85" hidden="1" customHeight="1">
      <c r="B94" s="291"/>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str">
        <f ca="1"/>
        <v>Moru brown vertical</v>
      </c>
      <c r="AE94" s="301"/>
      <c r="AF94" s="301"/>
      <c r="AG94" s="301"/>
      <c r="AH94" s="301"/>
      <c r="AI94" s="303"/>
      <c r="AJ94" s="303"/>
      <c r="AK94" s="303"/>
      <c r="AL94" s="303"/>
    </row>
    <row r="95" spans="1:38" ht="14.85" hidden="1" customHeight="1">
      <c r="B95" s="291"/>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str">
        <f ca="1"/>
        <v xml:space="preserve">Moru graphite vertical </v>
      </c>
      <c r="AE95" s="301"/>
      <c r="AF95" s="301"/>
      <c r="AG95" s="301"/>
      <c r="AH95" s="301"/>
      <c r="AI95" s="303"/>
      <c r="AJ95" s="303"/>
      <c r="AK95" s="303"/>
      <c r="AL95" s="303"/>
    </row>
    <row r="96" spans="1:38" ht="14.85" hidden="1" customHeight="1">
      <c r="B96" s="291"/>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str">
        <f ca="1"/>
        <v>Moru brown horizontal</v>
      </c>
      <c r="AE96" s="301"/>
      <c r="AF96" s="301"/>
      <c r="AG96" s="301"/>
      <c r="AH96" s="301"/>
      <c r="AI96" s="303"/>
      <c r="AJ96" s="303"/>
      <c r="AK96" s="303"/>
      <c r="AL96" s="303"/>
    </row>
    <row r="97" spans="2:38" ht="14.85" hidden="1" customHeight="1">
      <c r="B97" s="291"/>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str">
        <f ca="1"/>
        <v>Moru graphite horizontal</v>
      </c>
      <c r="AE97" s="301"/>
      <c r="AF97" s="301"/>
      <c r="AG97" s="301"/>
      <c r="AH97" s="301"/>
      <c r="AI97" s="303"/>
      <c r="AJ97" s="303"/>
      <c r="AK97" s="303"/>
      <c r="AL97" s="303"/>
    </row>
    <row r="98" spans="2:38" ht="14.85" hidden="1" customHeight="1">
      <c r="B98" s="291"/>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OzY3VN2eEf/O9Y+0sdhWns/9Hh6eaxKMN1ILvOwZdZZVZZ+EivoJbaY9GMJ/5NDIeRD0u/ZRCQ8Qo/2QdTGaMA==" saltValue="5y7ox3K6xLHnnkJ4e0onMA==" spinCount="100000" sheet="1" objects="1" scenarios="1"/>
  <protectedRanges>
    <protectedRange sqref="G7 I7:R7" name="Oblast1"/>
  </protectedRanges>
  <mergeCells count="99">
    <mergeCell ref="B26:F26"/>
    <mergeCell ref="H26:Q26"/>
    <mergeCell ref="B27:F27"/>
    <mergeCell ref="H27:Q27"/>
    <mergeCell ref="H19:Q19"/>
    <mergeCell ref="H25:Q25"/>
    <mergeCell ref="B32:Q32"/>
    <mergeCell ref="B28:F28"/>
    <mergeCell ref="H28:Q28"/>
    <mergeCell ref="B30:J31"/>
    <mergeCell ref="K30:K31"/>
    <mergeCell ref="L30:O31"/>
    <mergeCell ref="P30:Q31"/>
    <mergeCell ref="D29:O29"/>
    <mergeCell ref="P29:Q29"/>
    <mergeCell ref="AM14:AM21"/>
    <mergeCell ref="H18:Q18"/>
    <mergeCell ref="H21:Q21"/>
    <mergeCell ref="N16:Q16"/>
    <mergeCell ref="S13:Y17"/>
    <mergeCell ref="H13:Q13"/>
    <mergeCell ref="H14:Q14"/>
    <mergeCell ref="F20:I20"/>
    <mergeCell ref="J20:M20"/>
    <mergeCell ref="B19:F19"/>
    <mergeCell ref="B15:F15"/>
    <mergeCell ref="H15:Q15"/>
    <mergeCell ref="B16:E16"/>
    <mergeCell ref="AC24:AG24"/>
    <mergeCell ref="F16:I16"/>
    <mergeCell ref="J16:M16"/>
    <mergeCell ref="B17:F17"/>
    <mergeCell ref="B18:F18"/>
    <mergeCell ref="B21:F21"/>
    <mergeCell ref="B20:E20"/>
    <mergeCell ref="H23:Q23"/>
    <mergeCell ref="AD14:AD21"/>
    <mergeCell ref="AP2:AS3"/>
    <mergeCell ref="BD3:BH3"/>
    <mergeCell ref="BI3:BM3"/>
    <mergeCell ref="B5:D5"/>
    <mergeCell ref="F5:H5"/>
    <mergeCell ref="J5:L5"/>
    <mergeCell ref="N5:P5"/>
    <mergeCell ref="R5:T5"/>
    <mergeCell ref="AB4:AN5"/>
    <mergeCell ref="V5:X5"/>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47:AQ47"/>
    <mergeCell ref="R33:S33"/>
    <mergeCell ref="R34:S34"/>
    <mergeCell ref="V34:W34"/>
    <mergeCell ref="AN47:AO47"/>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s>
  <conditionalFormatting sqref="B5 F5 J5 N5 R5 V5">
    <cfRule type="cellIs" dxfId="491" priority="24" operator="equal">
      <formula>$A$2</formula>
    </cfRule>
  </conditionalFormatting>
  <conditionalFormatting sqref="B16:I16">
    <cfRule type="expression" dxfId="490" priority="45">
      <formula>$AU$19=0</formula>
    </cfRule>
  </conditionalFormatting>
  <conditionalFormatting sqref="B9:Q9">
    <cfRule type="expression" dxfId="489" priority="30">
      <formula>$B$9=0</formula>
    </cfRule>
  </conditionalFormatting>
  <conditionalFormatting sqref="B11:Q11">
    <cfRule type="expression" dxfId="488" priority="44">
      <formula>$AU$10=0</formula>
    </cfRule>
  </conditionalFormatting>
  <conditionalFormatting sqref="B14:Q14">
    <cfRule type="expression" dxfId="487" priority="29">
      <formula>$B$14=0</formula>
    </cfRule>
  </conditionalFormatting>
  <conditionalFormatting sqref="B17:Q17">
    <cfRule type="expression" dxfId="486" priority="28">
      <formula>$B$17=0</formula>
    </cfRule>
  </conditionalFormatting>
  <conditionalFormatting sqref="B18:Q18">
    <cfRule type="expression" dxfId="485" priority="14" stopIfTrue="1">
      <formula>$B$18=0</formula>
    </cfRule>
    <cfRule type="expression" dxfId="484" priority="17">
      <formula>$F$16=$H$61</formula>
    </cfRule>
  </conditionalFormatting>
  <conditionalFormatting sqref="B19:Q19">
    <cfRule type="expression" dxfId="483" priority="27">
      <formula>$B$19=0</formula>
    </cfRule>
  </conditionalFormatting>
  <conditionalFormatting sqref="B20:Q20">
    <cfRule type="expression" dxfId="482" priority="26">
      <formula>$B$19=0</formula>
    </cfRule>
    <cfRule type="expression" dxfId="481" priority="25">
      <formula>$B$20=0</formula>
    </cfRule>
  </conditionalFormatting>
  <conditionalFormatting sqref="B21:Q21">
    <cfRule type="expression" dxfId="480" priority="6">
      <formula>$B$21=" "</formula>
    </cfRule>
  </conditionalFormatting>
  <conditionalFormatting sqref="B24:Q24">
    <cfRule type="expression" dxfId="479" priority="19" stopIfTrue="1">
      <formula>$T$59&lt;3</formula>
    </cfRule>
  </conditionalFormatting>
  <conditionalFormatting sqref="H23">
    <cfRule type="expression" dxfId="478" priority="31">
      <formula>$H$25&gt;0</formula>
    </cfRule>
  </conditionalFormatting>
  <conditionalFormatting sqref="H10:L11">
    <cfRule type="expression" dxfId="477" priority="23">
      <formula>$AU$10=2</formula>
    </cfRule>
  </conditionalFormatting>
  <conditionalFormatting sqref="H10:Q10">
    <cfRule type="expression" dxfId="476" priority="22">
      <formula>$AU$10=0</formula>
    </cfRule>
  </conditionalFormatting>
  <conditionalFormatting sqref="H22:Q22 B22:G23">
    <cfRule type="expression" dxfId="475" priority="20">
      <formula>$AS$33=1</formula>
    </cfRule>
  </conditionalFormatting>
  <conditionalFormatting sqref="J16:M16">
    <cfRule type="expression" dxfId="474" priority="16" stopIfTrue="1">
      <formula>$K$60=TRUE</formula>
    </cfRule>
  </conditionalFormatting>
  <conditionalFormatting sqref="J16:N16">
    <cfRule type="expression" dxfId="473" priority="18" stopIfTrue="1">
      <formula>$AV$19=0</formula>
    </cfRule>
  </conditionalFormatting>
  <conditionalFormatting sqref="M10:Q11">
    <cfRule type="expression" dxfId="472" priority="21">
      <formula>$AU$10=1</formula>
    </cfRule>
  </conditionalFormatting>
  <conditionalFormatting sqref="N16:Q16">
    <cfRule type="expression" dxfId="471" priority="15" stopIfTrue="1">
      <formula>$K$60=TRUE</formula>
    </cfRule>
  </conditionalFormatting>
  <conditionalFormatting sqref="P29:Q29">
    <cfRule type="expression" dxfId="470" priority="1">
      <formula>$U$41=2</formula>
    </cfRule>
  </conditionalFormatting>
  <conditionalFormatting sqref="AA9:AA10 AA24:AA25">
    <cfRule type="expression" dxfId="469" priority="10" stopIfTrue="1">
      <formula>$AU$17=1</formula>
    </cfRule>
  </conditionalFormatting>
  <conditionalFormatting sqref="AA16:AA17">
    <cfRule type="expression" dxfId="468" priority="5" stopIfTrue="1">
      <formula>$AU$24="1_3"</formula>
    </cfRule>
  </conditionalFormatting>
  <conditionalFormatting sqref="AB6 AA6:AA7 AA27 AA28:AB28">
    <cfRule type="expression" dxfId="467" priority="4" stopIfTrue="1">
      <formula>$AV$17=1</formula>
    </cfRule>
  </conditionalFormatting>
  <conditionalFormatting sqref="AB29:AO29">
    <cfRule type="cellIs" dxfId="466" priority="2" operator="equal">
      <formula>0</formula>
    </cfRule>
  </conditionalFormatting>
  <conditionalFormatting sqref="AC6:AD6 AM6:AN6">
    <cfRule type="expression" dxfId="465" priority="12" stopIfTrue="1">
      <formula>$AU$17=3</formula>
    </cfRule>
  </conditionalFormatting>
  <conditionalFormatting sqref="AC25:AD25 AJ26:AJ27">
    <cfRule type="expression" dxfId="464" priority="39">
      <formula>$AU$25=4</formula>
    </cfRule>
  </conditionalFormatting>
  <conditionalFormatting sqref="AC28:AD28 AM28:AN28">
    <cfRule type="expression" dxfId="463" priority="11" stopIfTrue="1">
      <formula>$AU$17=4</formula>
    </cfRule>
  </conditionalFormatting>
  <conditionalFormatting sqref="AC8:AG8">
    <cfRule type="expression" dxfId="462" priority="43">
      <formula>$AU$25=3</formula>
    </cfRule>
  </conditionalFormatting>
  <conditionalFormatting sqref="AC24:AG24">
    <cfRule type="expression" dxfId="461" priority="40">
      <formula>$AU$25=4</formula>
    </cfRule>
  </conditionalFormatting>
  <conditionalFormatting sqref="AD10:AD12 AB19:AC19">
    <cfRule type="expression" dxfId="460" priority="33">
      <formula>$AU$25=1</formula>
    </cfRule>
  </conditionalFormatting>
  <conditionalFormatting sqref="AD14:AD21">
    <cfRule type="expression" dxfId="459" priority="32">
      <formula>$AU$25=1</formula>
    </cfRule>
  </conditionalFormatting>
  <conditionalFormatting sqref="AE10:AE16">
    <cfRule type="expression" dxfId="458" priority="41">
      <formula>$AU$25=1</formula>
    </cfRule>
  </conditionalFormatting>
  <conditionalFormatting sqref="AF9:AK9">
    <cfRule type="expression" dxfId="457" priority="36">
      <formula>$AU$25=3</formula>
    </cfRule>
  </conditionalFormatting>
  <conditionalFormatting sqref="AF25:AK25">
    <cfRule type="expression" dxfId="456" priority="38">
      <formula>$AU$25=4</formula>
    </cfRule>
  </conditionalFormatting>
  <conditionalFormatting sqref="AG6:AH6">
    <cfRule type="expression" dxfId="455" priority="8" stopIfTrue="1">
      <formula>$AU$24="3_3"</formula>
    </cfRule>
  </conditionalFormatting>
  <conditionalFormatting sqref="AG28:AH28">
    <cfRule type="expression" dxfId="454" priority="7" stopIfTrue="1">
      <formula>$AU$24="4_3"</formula>
    </cfRule>
  </conditionalFormatting>
  <conditionalFormatting sqref="AJ7:AJ8 AC9:AD9">
    <cfRule type="expression" dxfId="453" priority="37">
      <formula>$AU$25=3</formula>
    </cfRule>
  </conditionalFormatting>
  <conditionalFormatting sqref="AL19:AL25">
    <cfRule type="expression" dxfId="452" priority="42">
      <formula>$AU$25=2</formula>
    </cfRule>
  </conditionalFormatting>
  <conditionalFormatting sqref="AM14:AM21">
    <cfRule type="expression" dxfId="451" priority="34">
      <formula>$AU$25=2</formula>
    </cfRule>
  </conditionalFormatting>
  <conditionalFormatting sqref="AN19:AO19 AM23:AM25">
    <cfRule type="expression" dxfId="450" priority="35">
      <formula>$AU$25=2</formula>
    </cfRule>
  </conditionalFormatting>
  <conditionalFormatting sqref="AO6 AP6:AP7 AP27 AO28:AP28">
    <cfRule type="expression" dxfId="449" priority="3" stopIfTrue="1">
      <formula>$AV$17=2</formula>
    </cfRule>
  </conditionalFormatting>
  <conditionalFormatting sqref="AP9:AP10 AP24:AP25">
    <cfRule type="expression" dxfId="448" priority="9" stopIfTrue="1">
      <formula>$AU$17=2</formula>
    </cfRule>
  </conditionalFormatting>
  <conditionalFormatting sqref="AP16:AP17">
    <cfRule type="expression" dxfId="447" priority="13" stopIfTrue="1">
      <formula>$AU$24="2_3"</formula>
    </cfRule>
  </conditionalFormatting>
  <dataValidations count="20">
    <dataValidation type="whole" allowBlank="1" showInputMessage="1" showErrorMessage="1" sqref="H11:L11" xr:uid="{BD1871EC-0A2B-4252-8414-D67A656C8D53}">
      <formula1>1</formula1>
      <formula2>(AR14/100)-1</formula2>
    </dataValidation>
    <dataValidation type="whole" allowBlank="1" showInputMessage="1" showErrorMessage="1" sqref="M11:Q11" xr:uid="{518738B6-0AD2-4B37-A2CA-B926F26D13F8}">
      <formula1>1</formula1>
      <formula2>(AI30/100)-1</formula2>
    </dataValidation>
    <dataValidation type="whole" allowBlank="1" showInputMessage="1" showErrorMessage="1" errorTitle="Minimum 80 mm" sqref="F20:I20 N20:Q20" xr:uid="{C509BB4B-3AE7-428C-B059-F3539550D499}">
      <formula1>80</formula1>
      <formula2>1300</formula2>
    </dataValidation>
    <dataValidation type="whole" operator="greaterThanOrEqual" allowBlank="1" showInputMessage="1" showErrorMessage="1" sqref="H26:Q26" xr:uid="{5AC70DF2-A6BF-4804-9AB5-D92EB3CE2143}">
      <formula1>1</formula1>
    </dataValidation>
    <dataValidation type="list" allowBlank="1" showInputMessage="1" showErrorMessage="1" sqref="H12:Q12" xr:uid="{63F7DE66-DBD2-4805-8724-480190800A7A}">
      <formula1>$L$36:$M$36</formula1>
    </dataValidation>
    <dataValidation type="list" allowBlank="1" showInputMessage="1" showErrorMessage="1" sqref="H24:Q24" xr:uid="{4DA3018C-0DDC-4F35-B6BF-256342CFB185}">
      <formula1>$X$54:$X$56</formula1>
    </dataValidation>
    <dataValidation type="list" allowBlank="1" showInputMessage="1" showErrorMessage="1" sqref="H21:Q21" xr:uid="{CEFE72CA-37C8-46D7-8ED2-29FD6C92E40D}">
      <formula1>$T$54:$T$56</formula1>
    </dataValidation>
    <dataValidation type="list" allowBlank="1" showInputMessage="1" showErrorMessage="1" sqref="H14:Q14" xr:uid="{2874D3D8-03F1-400E-8DE5-86417E3CE867}">
      <formula1>$P$36:$P$38</formula1>
    </dataValidation>
    <dataValidation type="list" allowBlank="1" showInputMessage="1" showErrorMessage="1" sqref="H19:Q19" xr:uid="{57E1761C-5ECE-4A55-A05D-4EF0B5DC8F9C}">
      <formula1>IF(H13="Salice",$AJ$36,($AJ$36:$AJ$40))</formula1>
    </dataValidation>
    <dataValidation type="list" allowBlank="1" showInputMessage="1" showErrorMessage="1" sqref="H18:Q18" xr:uid="{C512FDEF-0791-4F45-A687-10BDC0BD8122}">
      <formula1>$AF$36:$AF$41</formula1>
    </dataValidation>
    <dataValidation type="list" allowBlank="1" showInputMessage="1" showErrorMessage="1" sqref="N16:Q16" xr:uid="{692ED18F-91AB-43F2-A71E-7BAE287D209D}">
      <formula1>$K$54:$K$58</formula1>
    </dataValidation>
    <dataValidation type="list" allowBlank="1" showInputMessage="1" showErrorMessage="1" sqref="H13:Q13" xr:uid="{B8C37846-1D2A-4526-8912-B55383087849}">
      <formula1>IF(M38="Salice",$L$38,$L$38:$L$42)</formula1>
    </dataValidation>
    <dataValidation type="list" allowBlank="1" showInputMessage="1" showErrorMessage="1" sqref="H15:Q15" xr:uid="{D850487C-2AC5-4047-A432-9D14B87CAB83}">
      <formula1>$T$36:$T$44</formula1>
    </dataValidation>
    <dataValidation type="list" allowBlank="1" showInputMessage="1" showErrorMessage="1" sqref="F16:I16" xr:uid="{013AD13B-49BE-4B67-BEF9-013E49C0BCB1}">
      <formula1>$O$65:$O$71</formula1>
    </dataValidation>
    <dataValidation type="list" allowBlank="1" showInputMessage="1" showErrorMessage="1" sqref="H17:Q17" xr:uid="{1B6E18AC-59C6-4B57-A955-F356459E345C}">
      <formula1>$P$82:$P$90</formula1>
    </dataValidation>
    <dataValidation type="whole" operator="lessThan" showInputMessage="1" showErrorMessage="1" sqref="AI30:AK30" xr:uid="{C3819147-5054-42C3-806D-4DEEF964CD96}">
      <formula1>IF(AR14&lt;AI43+1,AJ43+1,AI43+1)</formula1>
    </dataValidation>
    <dataValidation type="whole" operator="lessThan" showErrorMessage="1" sqref="AR14:AR18" xr:uid="{5EB7CDF6-261A-44D8-A100-AF5D7C7A0B49}">
      <formula1>IF(AI30&lt;AI43+1,AJ43+1,AI43+1)</formula1>
    </dataValidation>
    <dataValidation type="list" allowBlank="1" showInputMessage="1" showErrorMessage="1" sqref="P29:Q29" xr:uid="{E5684FFF-E78C-49D4-BEDA-0DEFB614B859}">
      <formula1>$W$37:$W$38</formula1>
    </dataValidation>
    <dataValidation type="list" allowBlank="1" showInputMessage="1" showErrorMessage="1" sqref="H25:Q25" xr:uid="{DE6521C2-4227-4653-A2A5-7CD8128CFE6C}">
      <formula1>$AD$54:$AD$97</formula1>
    </dataValidation>
    <dataValidation type="list" allowBlank="1" showInputMessage="1" showErrorMessage="1" sqref="H8:Q8" xr:uid="{43CDBF3B-3EF1-4734-9581-5211F1657394}">
      <formula1>B36:B91</formula1>
    </dataValidation>
  </dataValidations>
  <hyperlinks>
    <hyperlink ref="AP2:AS3" location="Hlavní!A1" display="Hlavní!A1" xr:uid="{6EEF5ED0-47DD-49D5-9560-28076653F087}"/>
    <hyperlink ref="F5:H5" location="Ram_2!A1" display="Ram_2!A1" xr:uid="{46F80A1F-6DCD-4438-A547-63C2CBF659F3}"/>
    <hyperlink ref="N5:P5" location="Ram_4!A1" display="Ram_4!A1" xr:uid="{71E8B06D-CB40-4304-88B0-AA9FCD29BAB4}"/>
    <hyperlink ref="R5:T5" location="Ram_5!A1" display="Ram_5!A1" xr:uid="{0FF66FA3-8D41-4A41-A452-0F50FBB24B02}"/>
    <hyperlink ref="V5:X5" location="Ram_6!A1" display="Ram_6!A1" xr:uid="{D0922342-5F26-4BA5-8B73-FA407A04D7C6}"/>
    <hyperlink ref="B5:D5" location="Ram_1!A1" display="Ram_1!A1" xr:uid="{B0428520-9856-4D7E-9C2E-3125F38FBE8E}"/>
    <hyperlink ref="AO31:AR32" location="_souhrn!A1" display="_souhrn!A1" xr:uid="{FADA540F-464A-4E53-AA10-B19CE7A33BAF}"/>
    <hyperlink ref="J5:L5" location="Ram_3!A1" display="Ram_3!A1" xr:uid="{4F5B796B-C315-49F6-A796-37C72D89EB6B}"/>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57150</xdr:colOff>
                    <xdr:row>6</xdr:row>
                    <xdr:rowOff>171450</xdr:rowOff>
                  </from>
                  <to>
                    <xdr:col>5</xdr:col>
                    <xdr:colOff>276225</xdr:colOff>
                    <xdr:row>7</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2465B73-D091-4377-843E-9C3E6C35DCBF}">
          <x14:formula1>
            <xm:f>'závěsy dle výklopu'!$BW$2:$BW$5</xm:f>
          </x14:formula1>
          <xm:sqref>H27:Q27</xm:sqref>
        </x14:dataValidation>
        <x14:dataValidation type="list" allowBlank="1" showInputMessage="1" showErrorMessage="1" xr:uid="{A75429D4-598F-440B-864B-8A720FD52465}">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D673"/>
  <sheetViews>
    <sheetView topLeftCell="DE1" workbookViewId="0">
      <selection activeCell="DN3" sqref="DN3:DN4"/>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#NAME?</v>
      </c>
      <c r="Q1" s="326" t="s">
        <v>1930</v>
      </c>
      <c r="R1" s="11" t="str">
        <f>VLOOKUP(Ram_4!H8,kombinace_4!$A$3:$C$75,3,0)</f>
        <v>N</v>
      </c>
      <c r="S1" t="str">
        <f>CONCATENATE("_",R1,V1)</f>
        <v>_N1</v>
      </c>
      <c r="U1" s="326" t="s">
        <v>1929</v>
      </c>
      <c r="V1" s="11">
        <f>IFERROR(VLOOKUP(Ram_4!H21,$EN$3:$EO$5,2,0),1)</f>
        <v>1</v>
      </c>
      <c r="X1" t="s">
        <v>1866</v>
      </c>
      <c r="AA1" t="s">
        <v>1021</v>
      </c>
      <c r="AF1" t="s">
        <v>1867</v>
      </c>
      <c r="AX1" t="s">
        <v>693</v>
      </c>
      <c r="BC1" t="s">
        <v>9</v>
      </c>
      <c r="BK1" t="s">
        <v>987</v>
      </c>
      <c r="BM1" t="s">
        <v>1919</v>
      </c>
      <c r="ER1" t="s">
        <v>3124</v>
      </c>
      <c r="ES1" t="s">
        <v>3129</v>
      </c>
      <c r="EV1">
        <v>1</v>
      </c>
      <c r="EW1" t="s">
        <v>3146</v>
      </c>
      <c r="EY1" t="s">
        <v>3249</v>
      </c>
      <c r="FA1" t="s">
        <v>3250</v>
      </c>
      <c r="FC1" t="s">
        <v>3248</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CONCATENATE("_",Ram_4!H12,"_",Ram_4!H13)</f>
        <v>__</v>
      </c>
      <c r="BV2" t="s">
        <v>1947</v>
      </c>
      <c r="BW2" t="s">
        <v>1942</v>
      </c>
      <c r="BY2" t="s">
        <v>220</v>
      </c>
      <c r="CA2" t="s">
        <v>1974</v>
      </c>
      <c r="CD2" t="s">
        <v>2049</v>
      </c>
      <c r="CF2" t="s">
        <v>2294</v>
      </c>
      <c r="DN2" t="str">
        <f>'Translate&amp;Prices&amp;Logo'!B553</f>
        <v>Overlay</v>
      </c>
      <c r="DP2" t="str">
        <f>'Translate&amp;Prices&amp;Logo'!$B$551</f>
        <v>Hinges</v>
      </c>
      <c r="DQ2">
        <v>2</v>
      </c>
      <c r="ED2" t="s">
        <v>2617</v>
      </c>
      <c r="EE2" t="s">
        <v>2711</v>
      </c>
      <c r="ER2" t="s">
        <v>3125</v>
      </c>
      <c r="ES2" t="s">
        <v>3130</v>
      </c>
      <c r="EV2">
        <v>2</v>
      </c>
      <c r="EW2" t="s">
        <v>3147</v>
      </c>
      <c r="EY2" s="366" t="str">
        <f>'Translate&amp;Prices&amp;Logo'!B164</f>
        <v>mesh aluminum gold - field 10x6x1 mm</v>
      </c>
      <c r="FA2" s="168">
        <f>'Translate&amp;Prices&amp;Logo'!B644</f>
        <v>0</v>
      </c>
      <c r="FC2" t="b">
        <v>0</v>
      </c>
    </row>
    <row r="3" spans="1:160">
      <c r="A3" t="str">
        <f>'Translate&amp;Prices&amp;Logo'!$B$6</f>
        <v>BRW (elox.) - maximum profile length 2500 mm</v>
      </c>
      <c r="B3">
        <v>1</v>
      </c>
      <c r="C3" t="s">
        <v>1122</v>
      </c>
      <c r="D3">
        <v>1</v>
      </c>
      <c r="F3" t="s">
        <v>1883</v>
      </c>
      <c r="G3" t="s">
        <v>672</v>
      </c>
      <c r="H3" t="s">
        <v>1884</v>
      </c>
      <c r="I3">
        <v>1</v>
      </c>
      <c r="J3">
        <v>2</v>
      </c>
      <c r="K3" t="s">
        <v>1122</v>
      </c>
      <c r="M3" t="s">
        <v>1885</v>
      </c>
      <c r="N3" t="s">
        <v>947</v>
      </c>
      <c r="X3" t="str">
        <f>'Translate&amp;Prices&amp;Logo'!$B$563</f>
        <v>Transparent</v>
      </c>
      <c r="Y3">
        <v>1</v>
      </c>
      <c r="AA3" t="s">
        <v>3051</v>
      </c>
      <c r="AB3" t="s">
        <v>1942</v>
      </c>
      <c r="AF3" t="s">
        <v>215</v>
      </c>
      <c r="AG3" t="s">
        <v>3407</v>
      </c>
      <c r="AY3" t="s">
        <v>1917</v>
      </c>
      <c r="BK3" t="s">
        <v>215</v>
      </c>
      <c r="BU3" t="e">
        <f>VLOOKUP(BU2,BV:BW,2,0)</f>
        <v>#N/A</v>
      </c>
      <c r="BV3" t="s">
        <v>1950</v>
      </c>
      <c r="BW3" t="s">
        <v>1946</v>
      </c>
      <c r="BY3" t="str">
        <f>'Translate&amp;Prices&amp;Logo'!$B$230</f>
        <v>Left</v>
      </c>
      <c r="BZ3">
        <v>1</v>
      </c>
      <c r="CA3">
        <v>32</v>
      </c>
      <c r="CD3" t="s">
        <v>3404</v>
      </c>
      <c r="CE3">
        <v>1</v>
      </c>
      <c r="CF3">
        <v>1</v>
      </c>
      <c r="DN3" t="str">
        <f>IF(OR(Ram_4!$H$13&amp;Ram_4!$AU$7=Ram_4!$M$44,
Ram_4!$H$13&amp;Ram_4!$AU$7=Ram_4!$M$45,
Ram_4!$H$13&amp;Ram_4!$AU$7=Ram_4!$M$46,
Ram_4!$H$13&amp;Ram_4!$AU$7=Ram_4!$M$47),
'Translate&amp;Prices&amp;Logo'!B657,'Translate&amp;Prices&amp;Logo'!B554)</f>
        <v>Half-overlay</v>
      </c>
      <c r="DP3" t="str">
        <f>'Translate&amp;Prices&amp;Logo'!$B$552</f>
        <v>Lifts</v>
      </c>
      <c r="DQ3">
        <v>3</v>
      </c>
      <c r="ED3" t="s">
        <v>2618</v>
      </c>
      <c r="EE3" t="s">
        <v>2712</v>
      </c>
      <c r="EJ3">
        <v>1</v>
      </c>
      <c r="EK3" t="s">
        <v>333</v>
      </c>
      <c r="EN3" t="str">
        <f>'Translate&amp;Prices&amp;Logo'!B638</f>
        <v>Not treated</v>
      </c>
      <c r="EO3">
        <v>1</v>
      </c>
      <c r="ER3" t="s">
        <v>3123</v>
      </c>
      <c r="ES3" t="s">
        <v>3131</v>
      </c>
      <c r="EV3">
        <v>3</v>
      </c>
      <c r="EW3" t="s">
        <v>3148</v>
      </c>
      <c r="EY3" s="366" t="str">
        <f>'Translate&amp;Prices&amp;Logo'!B165</f>
        <v>mesh steel black matt - field 8x4x1 mm</v>
      </c>
      <c r="FA3" s="168">
        <f>'Translate&amp;Prices&amp;Logo'!B645</f>
        <v>0</v>
      </c>
    </row>
    <row r="4" spans="1:160">
      <c r="A4" t="str">
        <f>'Translate&amp;Prices&amp;Logo'!$B$8</f>
        <v>BRW white matt RAL 9003 - maximum profile length 2500 mm</v>
      </c>
      <c r="B4">
        <v>1</v>
      </c>
      <c r="C4" t="s">
        <v>1122</v>
      </c>
      <c r="D4">
        <v>0</v>
      </c>
      <c r="G4" t="s">
        <v>1884</v>
      </c>
      <c r="H4" t="s">
        <v>672</v>
      </c>
      <c r="I4">
        <v>0</v>
      </c>
      <c r="J4">
        <v>2</v>
      </c>
      <c r="K4" t="s">
        <v>1122</v>
      </c>
      <c r="M4" t="s">
        <v>1888</v>
      </c>
      <c r="N4" t="s">
        <v>1488</v>
      </c>
      <c r="X4" t="str">
        <f>'Translate&amp;Prices&amp;Logo'!$B$564</f>
        <v>White</v>
      </c>
      <c r="Y4">
        <v>2</v>
      </c>
      <c r="AA4" t="s">
        <v>1887</v>
      </c>
      <c r="AB4" t="s">
        <v>3404</v>
      </c>
      <c r="AC4">
        <v>1</v>
      </c>
      <c r="AD4">
        <v>1</v>
      </c>
      <c r="AF4" t="s">
        <v>216</v>
      </c>
      <c r="AG4" t="s">
        <v>3407</v>
      </c>
      <c r="AY4" t="s">
        <v>1917</v>
      </c>
      <c r="AZ4" t="s">
        <v>1952</v>
      </c>
      <c r="BK4" t="s">
        <v>216</v>
      </c>
      <c r="BV4" t="s">
        <v>1951</v>
      </c>
      <c r="BW4" t="s">
        <v>1945</v>
      </c>
      <c r="BY4" t="str">
        <f>'Translate&amp;Prices&amp;Logo'!$B$229</f>
        <v>Right</v>
      </c>
      <c r="BZ4">
        <v>2</v>
      </c>
      <c r="CA4">
        <v>64</v>
      </c>
      <c r="CD4" t="s">
        <v>3122</v>
      </c>
      <c r="CE4">
        <v>1</v>
      </c>
      <c r="CF4">
        <v>0</v>
      </c>
      <c r="DN4" t="str">
        <f>IF(OR(Ram_4!$H$13&amp;Ram_4!$AU$7=Ram_4!$M$44,
Ram_4!$H$13&amp;Ram_4!$AU$7=Ram_4!$M$45,
Ram_4!$H$13&amp;Ram_4!$AU$7=Ram_4!$M$46,
Ram_4!$H$13&amp;Ram_4!$AU$7=Ram_4!$M$47),
'Translate&amp;Prices&amp;Logo'!B657,'Translate&amp;Prices&amp;Logo'!B555)</f>
        <v>Inset</v>
      </c>
      <c r="ED4" t="s">
        <v>2619</v>
      </c>
      <c r="EE4" t="s">
        <v>2713</v>
      </c>
      <c r="EJ4">
        <v>2</v>
      </c>
      <c r="EK4" t="s">
        <v>334</v>
      </c>
      <c r="EN4" t="str">
        <f>'Translate&amp;Prices&amp;Logo'!B639</f>
        <v>Harded (delivery is 4 weeks)</v>
      </c>
      <c r="EO4">
        <v>2</v>
      </c>
      <c r="ER4" t="s">
        <v>3482</v>
      </c>
      <c r="ES4" t="s">
        <v>3483</v>
      </c>
      <c r="EV4">
        <v>4</v>
      </c>
      <c r="EW4" t="s">
        <v>3149</v>
      </c>
      <c r="EY4" s="366" t="str">
        <f>'Translate&amp;Prices&amp;Logo'!B166</f>
        <v>mesh steel white - field 8x4x1 mm</v>
      </c>
      <c r="FA4" s="168">
        <f>'Translate&amp;Prices&amp;Logo'!B646</f>
        <v>0</v>
      </c>
      <c r="FD4" s="388"/>
    </row>
    <row r="5" spans="1:160">
      <c r="A5" t="str">
        <f>'Translate&amp;Prices&amp;Logo'!$B$9</f>
        <v>BRW white gloss RAL 9003 - maximum profile length 2500 mm</v>
      </c>
      <c r="B5">
        <v>1</v>
      </c>
      <c r="C5" t="s">
        <v>1122</v>
      </c>
      <c r="D5">
        <v>0</v>
      </c>
      <c r="F5" t="s">
        <v>1890</v>
      </c>
      <c r="G5" t="s">
        <v>671</v>
      </c>
      <c r="H5" t="s">
        <v>1884</v>
      </c>
      <c r="I5">
        <v>1</v>
      </c>
      <c r="J5">
        <v>2</v>
      </c>
      <c r="K5" t="s">
        <v>1122</v>
      </c>
      <c r="M5" t="s">
        <v>1891</v>
      </c>
      <c r="N5" t="s">
        <v>967</v>
      </c>
      <c r="X5" t="str">
        <f>'Translate&amp;Prices&amp;Logo'!$B$565</f>
        <v>Black</v>
      </c>
      <c r="Y5">
        <v>3</v>
      </c>
      <c r="AA5" t="s">
        <v>1887</v>
      </c>
      <c r="AB5" t="s">
        <v>3408</v>
      </c>
      <c r="AC5">
        <v>0</v>
      </c>
      <c r="AD5">
        <v>0</v>
      </c>
      <c r="AF5" t="s">
        <v>215</v>
      </c>
      <c r="AG5" t="s">
        <v>3409</v>
      </c>
      <c r="AY5" t="s">
        <v>1917</v>
      </c>
      <c r="AZ5" t="s">
        <v>1953</v>
      </c>
      <c r="BK5" t="s">
        <v>1894</v>
      </c>
      <c r="BV5" t="s">
        <v>3534</v>
      </c>
      <c r="BW5" t="s">
        <v>3535</v>
      </c>
      <c r="BY5" t="str">
        <f>'Translate&amp;Prices&amp;Logo'!$B$227</f>
        <v>Top</v>
      </c>
      <c r="BZ5">
        <v>3</v>
      </c>
      <c r="CA5">
        <v>76</v>
      </c>
      <c r="CD5" t="s">
        <v>1897</v>
      </c>
      <c r="CE5">
        <v>1</v>
      </c>
      <c r="CF5">
        <v>0</v>
      </c>
      <c r="ED5" t="s">
        <v>2620</v>
      </c>
      <c r="EE5" t="s">
        <v>2714</v>
      </c>
      <c r="EJ5">
        <v>3</v>
      </c>
      <c r="EK5" t="s">
        <v>108</v>
      </c>
      <c r="EN5" t="str">
        <f>'Translate&amp;Prices&amp;Logo'!B640</f>
        <v>Foil</v>
      </c>
      <c r="EO5">
        <v>3</v>
      </c>
      <c r="ER5" t="s">
        <v>3484</v>
      </c>
      <c r="ES5" t="s">
        <v>3485</v>
      </c>
      <c r="EV5">
        <v>5</v>
      </c>
      <c r="EW5" t="s">
        <v>3147</v>
      </c>
      <c r="EY5" s="366" t="str">
        <f>'Translate&amp;Prices&amp;Logo'!B167</f>
        <v>mesh anodized - field 10x6x1 mm</v>
      </c>
      <c r="FA5" s="168">
        <f>'Translate&amp;Prices&amp;Logo'!B647</f>
        <v>0</v>
      </c>
      <c r="FD5" s="388"/>
    </row>
    <row r="6" spans="1:160">
      <c r="A6" t="str">
        <f>'Translate&amp;Prices&amp;Logo'!$B$11</f>
        <v>BRW brushed - maximum profile length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Bottom</v>
      </c>
      <c r="BZ6">
        <v>4</v>
      </c>
      <c r="CA6">
        <v>96</v>
      </c>
      <c r="CD6" t="s">
        <v>1900</v>
      </c>
      <c r="CE6">
        <v>1</v>
      </c>
      <c r="CF6">
        <v>1</v>
      </c>
      <c r="ED6" t="s">
        <v>2621</v>
      </c>
      <c r="EE6" t="s">
        <v>2715</v>
      </c>
      <c r="EJ6">
        <v>4</v>
      </c>
      <c r="EK6" t="s">
        <v>109</v>
      </c>
      <c r="ER6" t="s">
        <v>3486</v>
      </c>
      <c r="ES6" t="s">
        <v>3487</v>
      </c>
      <c r="FA6" s="168">
        <f>'Translate&amp;Prices&amp;Logo'!B648</f>
        <v>0</v>
      </c>
    </row>
    <row r="7" spans="1:160">
      <c r="A7" t="str">
        <f>'Translate&amp;Prices&amp;Logo'!$B$12</f>
        <v>BRW black matt - maximum profile length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3488</v>
      </c>
      <c r="ES7" t="s">
        <v>3489</v>
      </c>
      <c r="FA7" s="168">
        <f>'Translate&amp;Prices&amp;Logo'!B649</f>
        <v>0</v>
      </c>
      <c r="FD7" s="388"/>
    </row>
    <row r="8" spans="1:160">
      <c r="A8" t="str">
        <f>'Translate&amp;Prices&amp;Logo'!$B$14</f>
        <v>BRW black brushed - maximum profile length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3490</v>
      </c>
      <c r="ES8" t="s">
        <v>3491</v>
      </c>
      <c r="FA8" s="168">
        <f>'Translate&amp;Prices&amp;Logo'!B650</f>
        <v>0</v>
      </c>
    </row>
    <row r="9" spans="1:160">
      <c r="A9" t="str">
        <f>'Translate&amp;Prices&amp;Logo'!$B$15</f>
        <v>BRW Light Stainless Steel (ACIER GRATA) - maximum profile length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2718</v>
      </c>
      <c r="ER9" t="s">
        <v>3492</v>
      </c>
      <c r="ES9" t="s">
        <v>3493</v>
      </c>
      <c r="FA9">
        <f>'Translate&amp;Prices&amp;Logo'!B651</f>
        <v>0</v>
      </c>
    </row>
    <row r="10" spans="1:160">
      <c r="A10" t="str">
        <f>'Translate&amp;Prices&amp;Logo'!$B$7</f>
        <v>BRW anthracite RAL 7021 - maximum profile length 2500 mm</v>
      </c>
      <c r="B10">
        <v>1</v>
      </c>
      <c r="C10" t="s">
        <v>1122</v>
      </c>
      <c r="D10">
        <v>0</v>
      </c>
      <c r="M10" t="str">
        <f>'Translate&amp;Prices&amp;Logo'!B558</f>
        <v>Horizontal (delivery is 4 weeks)</v>
      </c>
      <c r="N10">
        <f>IF(Ram_4!$H$9=kombinace_1!M10,1,0)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8"/>
    </row>
    <row r="11" spans="1:160">
      <c r="A11" t="str">
        <f>'Translate&amp;Prices&amp;Logo'!$B$69</f>
        <v>BRW champagne - maximum profile length 2500 mm</v>
      </c>
      <c r="B11">
        <v>1</v>
      </c>
      <c r="C11" t="s">
        <v>1122</v>
      </c>
      <c r="D11">
        <v>0</v>
      </c>
      <c r="M11" t="str">
        <f>'Translate&amp;Prices&amp;Logo'!B559</f>
        <v>Vertical (delivery is 4 weeks)</v>
      </c>
      <c r="N11">
        <f>IF(Ram_4!$H$9=kombinace_1!M11,2,0)</f>
        <v>0</v>
      </c>
      <c r="AC11">
        <v>0</v>
      </c>
      <c r="AD11">
        <v>0</v>
      </c>
      <c r="AF11" t="s">
        <v>215</v>
      </c>
      <c r="AG11" t="s">
        <v>1902</v>
      </c>
      <c r="AY11" t="s">
        <v>1887</v>
      </c>
      <c r="AZ11" t="s">
        <v>1958</v>
      </c>
      <c r="BQ11" s="368" t="s">
        <v>3237</v>
      </c>
      <c r="BY11">
        <v>5</v>
      </c>
      <c r="CA11">
        <v>240</v>
      </c>
      <c r="CD11" t="str">
        <f>CONCATENATE('Translate&amp;Prices&amp;Logo'!B664,"_K12")</f>
        <v>bottom_K12</v>
      </c>
      <c r="CE11">
        <v>1</v>
      </c>
      <c r="CF11">
        <v>0</v>
      </c>
      <c r="DN11" t="s">
        <v>99</v>
      </c>
      <c r="DO11" s="11" t="s">
        <v>99</v>
      </c>
      <c r="ED11" t="s">
        <v>2626</v>
      </c>
      <c r="EE11" t="s">
        <v>2720</v>
      </c>
      <c r="ER11" t="s">
        <v>3127</v>
      </c>
      <c r="ES11" t="s">
        <v>3133</v>
      </c>
      <c r="FD11" s="388"/>
    </row>
    <row r="12" spans="1:160">
      <c r="A12" t="str">
        <f>'Translate&amp;Prices&amp;Logo'!$B$70</f>
        <v>BRW champagne light - maximum profile length 2500 mm</v>
      </c>
      <c r="B12">
        <v>1</v>
      </c>
      <c r="C12" t="s">
        <v>1122</v>
      </c>
      <c r="D12">
        <v>0</v>
      </c>
      <c r="M12" t="str">
        <f>'Translate&amp;Prices&amp;Logo'!B560</f>
        <v>Horizontal and vertical (delivery is 4 weeks)</v>
      </c>
      <c r="N12">
        <f>IF(Ram_4!$H$9=kombinace_1!M12,3,0)</f>
        <v>0</v>
      </c>
      <c r="AC12">
        <v>0</v>
      </c>
      <c r="AD12">
        <v>0</v>
      </c>
      <c r="AF12" t="s">
        <v>216</v>
      </c>
      <c r="AG12" t="s">
        <v>1902</v>
      </c>
      <c r="AY12" t="s">
        <v>1887</v>
      </c>
      <c r="AZ12" t="s">
        <v>1959</v>
      </c>
      <c r="BQ12" s="369"/>
      <c r="BR12" t="s">
        <v>1887</v>
      </c>
      <c r="BY12">
        <v>6</v>
      </c>
      <c r="CA12">
        <v>256</v>
      </c>
      <c r="CD12" t="s">
        <v>1911</v>
      </c>
      <c r="CE12">
        <v>1</v>
      </c>
      <c r="CF12">
        <v>0</v>
      </c>
      <c r="DN12" t="s">
        <v>100</v>
      </c>
      <c r="DO12" s="11" t="s">
        <v>100</v>
      </c>
      <c r="ED12" t="s">
        <v>2627</v>
      </c>
      <c r="EE12" t="s">
        <v>2721</v>
      </c>
      <c r="ER12" t="s">
        <v>3128</v>
      </c>
      <c r="ES12" t="s">
        <v>3134</v>
      </c>
    </row>
    <row r="13" spans="1:160">
      <c r="A13" t="str">
        <f>'Translate&amp;Prices&amp;Logo'!$B$10</f>
        <v>BRW brown - maximum profile length 2500 mm</v>
      </c>
      <c r="B13">
        <v>1</v>
      </c>
      <c r="C13" t="s">
        <v>1122</v>
      </c>
      <c r="D13">
        <v>0</v>
      </c>
      <c r="AC13">
        <v>0</v>
      </c>
      <c r="AD13">
        <v>0</v>
      </c>
      <c r="AF13" t="s">
        <v>215</v>
      </c>
      <c r="AG13" t="s">
        <v>1905</v>
      </c>
      <c r="AY13" t="s">
        <v>1887</v>
      </c>
      <c r="AZ13" t="s">
        <v>1960</v>
      </c>
      <c r="BQ13" s="369"/>
      <c r="BR13" t="s">
        <v>1899</v>
      </c>
      <c r="BY13" t="str">
        <f>'Translate&amp;Prices&amp;Logo'!$B$558</f>
        <v>Horizontal (delivery is 4 weeks)</v>
      </c>
      <c r="BZ13">
        <v>1</v>
      </c>
      <c r="CA13">
        <v>288</v>
      </c>
      <c r="CD13" t="str">
        <f>CONCATENATE('Translate&amp;Prices&amp;Logo'!B664,"_kraby")</f>
        <v>bottom_kraby</v>
      </c>
      <c r="CE13">
        <v>1</v>
      </c>
      <c r="CF13">
        <v>0</v>
      </c>
      <c r="DN13" t="s">
        <v>452</v>
      </c>
      <c r="DO13" s="11" t="s">
        <v>98</v>
      </c>
      <c r="ED13" t="s">
        <v>3544</v>
      </c>
      <c r="EE13" t="s">
        <v>3543</v>
      </c>
      <c r="ER13" t="s">
        <v>3129</v>
      </c>
      <c r="ES13" t="s">
        <v>3129</v>
      </c>
    </row>
    <row r="14" spans="1:160">
      <c r="A14" t="str">
        <f>'Translate&amp;Prices&amp;Logo'!$B$16</f>
        <v>BRW dark stainless steel - maximum profile length 2500 mm</v>
      </c>
      <c r="B14">
        <v>1</v>
      </c>
      <c r="C14" t="s">
        <v>1122</v>
      </c>
      <c r="D14">
        <v>0</v>
      </c>
      <c r="F14">
        <f>'Translate&amp;Prices&amp;Logo'!$B$77</f>
        <v>0</v>
      </c>
      <c r="J14" t="b">
        <f>TRUE</f>
        <v>1</v>
      </c>
      <c r="K14">
        <v>1</v>
      </c>
      <c r="AA14" t="s">
        <v>3052</v>
      </c>
      <c r="AB14" t="s">
        <v>1946</v>
      </c>
      <c r="AF14" t="s">
        <v>216</v>
      </c>
      <c r="AG14" t="s">
        <v>1905</v>
      </c>
      <c r="AY14" t="s">
        <v>1887</v>
      </c>
      <c r="AZ14" t="s">
        <v>1961</v>
      </c>
      <c r="BQ14" s="369"/>
      <c r="BY14" t="str">
        <f>'Translate&amp;Prices&amp;Logo'!$B$559</f>
        <v>Vertical (delivery is 4 weeks)</v>
      </c>
      <c r="BZ14">
        <v>2</v>
      </c>
      <c r="CA14">
        <v>320</v>
      </c>
      <c r="CD14" t="s">
        <v>1913</v>
      </c>
      <c r="CE14">
        <v>1</v>
      </c>
      <c r="CF14">
        <v>0</v>
      </c>
      <c r="DN14" t="s">
        <v>453</v>
      </c>
      <c r="DO14" s="11" t="s">
        <v>99</v>
      </c>
      <c r="ED14" t="s">
        <v>2628</v>
      </c>
      <c r="EE14" t="s">
        <v>2722</v>
      </c>
      <c r="ER14" t="s">
        <v>3130</v>
      </c>
      <c r="ES14" t="s">
        <v>3130</v>
      </c>
    </row>
    <row r="15" spans="1:160">
      <c r="A15" t="str">
        <f>'Translate&amp;Prices&amp;Logo'!$B$13</f>
        <v>BRW gold - maximum profile length 2500 mm</v>
      </c>
      <c r="B15">
        <v>1</v>
      </c>
      <c r="C15" t="s">
        <v>1122</v>
      </c>
      <c r="D15">
        <v>1</v>
      </c>
      <c r="F15">
        <f>'Translate&amp;Prices&amp;Logo'!$B$78</f>
        <v>0</v>
      </c>
      <c r="J15" t="b">
        <f>FALSE</f>
        <v>0</v>
      </c>
      <c r="K15">
        <v>2</v>
      </c>
      <c r="AA15" t="s">
        <v>1899</v>
      </c>
      <c r="AB15" t="s">
        <v>1897</v>
      </c>
      <c r="AC15">
        <v>1</v>
      </c>
      <c r="AD15">
        <v>0</v>
      </c>
      <c r="AF15" t="s">
        <v>215</v>
      </c>
      <c r="AG15" t="s">
        <v>1907</v>
      </c>
      <c r="AY15" t="s">
        <v>3473</v>
      </c>
      <c r="BQ15" s="370"/>
      <c r="BY15" t="str">
        <f>'Translate&amp;Prices&amp;Logo'!$B$560</f>
        <v>Horizontal and vertical (delivery is 4 weeks)</v>
      </c>
      <c r="BZ15">
        <v>3</v>
      </c>
      <c r="CA15">
        <v>384</v>
      </c>
      <c r="CD15" t="s">
        <v>1914</v>
      </c>
      <c r="CE15">
        <v>1</v>
      </c>
      <c r="CF15">
        <v>0</v>
      </c>
      <c r="DN15" t="s">
        <v>2101</v>
      </c>
      <c r="DO15" s="11" t="s">
        <v>100</v>
      </c>
      <c r="ED15" t="s">
        <v>2629</v>
      </c>
      <c r="EE15" t="s">
        <v>2723</v>
      </c>
      <c r="ER15" t="s">
        <v>3131</v>
      </c>
      <c r="ES15" t="s">
        <v>3131</v>
      </c>
      <c r="FD15" s="388"/>
    </row>
    <row r="16" spans="1:160">
      <c r="A16" t="str">
        <f>'Translate&amp;Prices&amp;Logo'!$B$55</f>
        <v>BRW arany csiszolt - maximum profile length 2500 mm</v>
      </c>
      <c r="B16">
        <v>1</v>
      </c>
      <c r="C16" t="s">
        <v>1122</v>
      </c>
      <c r="D16">
        <v>0</v>
      </c>
      <c r="F16">
        <f>'Translate&amp;Prices&amp;Logo'!$B$79</f>
        <v>0</v>
      </c>
      <c r="AA16" t="s">
        <v>1899</v>
      </c>
      <c r="AB16" t="s">
        <v>1900</v>
      </c>
      <c r="AC16">
        <v>1</v>
      </c>
      <c r="AD16">
        <v>1</v>
      </c>
      <c r="AF16" t="s">
        <v>216</v>
      </c>
      <c r="AG16" t="s">
        <v>1907</v>
      </c>
      <c r="AY16" t="s">
        <v>3473</v>
      </c>
      <c r="AZ16" t="s">
        <v>3474</v>
      </c>
      <c r="CA16">
        <v>448</v>
      </c>
      <c r="CD16" t="str">
        <f>'Translate&amp;Prices&amp;Logo'!B659</f>
        <v>StrongLift_upper</v>
      </c>
      <c r="CE16">
        <v>1</v>
      </c>
      <c r="CF16">
        <v>1</v>
      </c>
      <c r="DN16" t="s">
        <v>528</v>
      </c>
      <c r="DO16" s="11" t="s">
        <v>98</v>
      </c>
      <c r="ED16" t="s">
        <v>2630</v>
      </c>
      <c r="EE16" t="s">
        <v>2724</v>
      </c>
      <c r="ER16" t="s">
        <v>3483</v>
      </c>
      <c r="ES16" t="s">
        <v>3483</v>
      </c>
      <c r="FD16" s="388"/>
    </row>
    <row r="17" spans="1:160">
      <c r="A17" t="str">
        <f>'Translate&amp;Prices&amp;Logo'!$B$17</f>
        <v>Corleone (elox.) - maximum profile length 1500 mm</v>
      </c>
      <c r="B17">
        <v>2</v>
      </c>
      <c r="C17" t="s">
        <v>1122</v>
      </c>
      <c r="D17">
        <v>0</v>
      </c>
      <c r="E17">
        <v>3</v>
      </c>
      <c r="F17">
        <f>'Translate&amp;Prices&amp;Logo'!$B$82</f>
        <v>0</v>
      </c>
      <c r="AA17" t="s">
        <v>1899</v>
      </c>
      <c r="AB17" t="str">
        <f>IF(Ram_4!AU7=2,"FREEspace"," ")</f>
        <v>FREEspace</v>
      </c>
      <c r="AC17">
        <v>0</v>
      </c>
      <c r="AD17">
        <v>0</v>
      </c>
      <c r="AF17" t="s">
        <v>215</v>
      </c>
      <c r="AG17" t="s">
        <v>1908</v>
      </c>
      <c r="AY17" t="s">
        <v>3473</v>
      </c>
      <c r="AZ17" t="s">
        <v>3475</v>
      </c>
      <c r="CA17">
        <v>480</v>
      </c>
      <c r="CD17" t="str">
        <f>'Translate&amp;Prices&amp;Logo'!B660</f>
        <v>StrongLift_bottom</v>
      </c>
      <c r="CE17">
        <v>1</v>
      </c>
      <c r="CF17">
        <v>1</v>
      </c>
      <c r="DN17" t="s">
        <v>2210</v>
      </c>
      <c r="DO17" s="11" t="s">
        <v>99</v>
      </c>
      <c r="ED17" t="s">
        <v>2631</v>
      </c>
      <c r="EE17" t="s">
        <v>2725</v>
      </c>
      <c r="ER17" t="s">
        <v>3485</v>
      </c>
      <c r="ES17" t="s">
        <v>3485</v>
      </c>
      <c r="FD17" s="388"/>
    </row>
    <row r="18" spans="1:160">
      <c r="A18" t="str">
        <f>'Translate&amp;Prices&amp;Logo'!$B$18</f>
        <v>Corleone black matt - maximum profile length 1500 mm</v>
      </c>
      <c r="B18">
        <v>2</v>
      </c>
      <c r="C18" t="s">
        <v>1122</v>
      </c>
      <c r="D18">
        <v>0</v>
      </c>
      <c r="E18">
        <v>3</v>
      </c>
      <c r="F18" t="str">
        <f>'Translate&amp;Prices&amp;Logo'!$B$80</f>
        <v>Rocca elox (Left and Right) + Varna elox (Top and Bottom)</v>
      </c>
      <c r="AA18" t="s">
        <v>1899</v>
      </c>
      <c r="AB18" t="s">
        <v>1903</v>
      </c>
      <c r="AC18">
        <v>0</v>
      </c>
      <c r="AD18">
        <v>0</v>
      </c>
      <c r="AF18" t="s">
        <v>216</v>
      </c>
      <c r="AG18" t="s">
        <v>1908</v>
      </c>
      <c r="AY18" t="s">
        <v>3473</v>
      </c>
      <c r="AZ18" t="s">
        <v>3476</v>
      </c>
      <c r="BY18">
        <v>1</v>
      </c>
      <c r="CA18">
        <v>576</v>
      </c>
      <c r="CD18" t="s">
        <v>1918</v>
      </c>
      <c r="CE18">
        <v>1</v>
      </c>
      <c r="CF18">
        <v>0</v>
      </c>
      <c r="DN18" t="s">
        <v>2211</v>
      </c>
      <c r="DO18" s="11" t="s">
        <v>100</v>
      </c>
      <c r="ED18" t="s">
        <v>2632</v>
      </c>
      <c r="EE18" t="s">
        <v>2726</v>
      </c>
      <c r="ER18" t="s">
        <v>3487</v>
      </c>
      <c r="ES18" t="s">
        <v>3487</v>
      </c>
    </row>
    <row r="19" spans="1:160">
      <c r="A19" t="str">
        <f>'Translate&amp;Prices&amp;Logo'!$B$59</f>
        <v>ASTI black matt - maximum profile length 2150 mm</v>
      </c>
      <c r="B19">
        <v>1</v>
      </c>
      <c r="C19" t="s">
        <v>1931</v>
      </c>
      <c r="D19">
        <v>0</v>
      </c>
      <c r="F19" t="str">
        <f>'Translate&amp;Prices&amp;Logo'!$B$81</f>
        <v>Rocca black (Left and right) + Varna black (Top and bottom)</v>
      </c>
      <c r="AA19" t="s">
        <v>1899</v>
      </c>
      <c r="AB19" t="s">
        <v>1904</v>
      </c>
      <c r="AC19">
        <v>0</v>
      </c>
      <c r="AD19">
        <v>0</v>
      </c>
      <c r="AF19" t="s">
        <v>215</v>
      </c>
      <c r="AG19" t="s">
        <v>1910</v>
      </c>
      <c r="AY19" t="s">
        <v>3473</v>
      </c>
      <c r="AZ19" t="s">
        <v>3477</v>
      </c>
      <c r="BY19">
        <v>2</v>
      </c>
      <c r="CA19">
        <v>672</v>
      </c>
      <c r="DN19" t="s">
        <v>2563</v>
      </c>
      <c r="DO19" t="s">
        <v>98</v>
      </c>
      <c r="ED19" t="s">
        <v>2633</v>
      </c>
      <c r="EE19" t="s">
        <v>2727</v>
      </c>
      <c r="ER19" t="s">
        <v>3489</v>
      </c>
      <c r="ES19" t="s">
        <v>3489</v>
      </c>
      <c r="FD19" s="388"/>
    </row>
    <row r="20" spans="1:160">
      <c r="A20" t="str">
        <f>'Translate&amp;Prices&amp;Logo'!$B$60</f>
        <v>ASTI anthracite RAL 7021 matt - maximum profile length 2500 mm</v>
      </c>
      <c r="B20">
        <v>1</v>
      </c>
      <c r="C20" t="s">
        <v>1931</v>
      </c>
      <c r="D20">
        <v>0</v>
      </c>
      <c r="AA20" t="s">
        <v>1899</v>
      </c>
      <c r="AB20" t="s">
        <v>1906</v>
      </c>
      <c r="AC20">
        <v>0</v>
      </c>
      <c r="AD20">
        <v>0</v>
      </c>
      <c r="AF20" t="s">
        <v>216</v>
      </c>
      <c r="AG20" t="s">
        <v>1910</v>
      </c>
      <c r="AY20" t="s">
        <v>3473</v>
      </c>
      <c r="AZ20" t="s">
        <v>3478</v>
      </c>
      <c r="BY20">
        <v>3</v>
      </c>
      <c r="CA20">
        <v>736</v>
      </c>
      <c r="DN20" t="s">
        <v>2420</v>
      </c>
      <c r="DO20" t="s">
        <v>99</v>
      </c>
      <c r="ED20" t="s">
        <v>2634</v>
      </c>
      <c r="EE20" t="s">
        <v>2728</v>
      </c>
      <c r="ER20" t="s">
        <v>3491</v>
      </c>
      <c r="ES20" t="s">
        <v>3491</v>
      </c>
      <c r="FD20" s="388"/>
    </row>
    <row r="21" spans="1:160">
      <c r="A21" t="str">
        <f>'Translate&amp;Prices&amp;Logo'!$B$19</f>
        <v>Imola (elox.) - maximum profile length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3493</v>
      </c>
      <c r="ES21" t="s">
        <v>3493</v>
      </c>
    </row>
    <row r="22" spans="1:160">
      <c r="A22" t="str">
        <f>'Translate&amp;Prices&amp;Logo'!$B$20</f>
        <v>Imola black matt - maximum profile length 2500 mm</v>
      </c>
      <c r="B22">
        <v>2</v>
      </c>
      <c r="C22" t="s">
        <v>1931</v>
      </c>
      <c r="D22">
        <v>0</v>
      </c>
      <c r="AA22" t="s">
        <v>1899</v>
      </c>
      <c r="AB22" t="s">
        <v>2058</v>
      </c>
      <c r="AC22">
        <v>1</v>
      </c>
      <c r="AD22">
        <v>0</v>
      </c>
      <c r="AF22" t="s">
        <v>216</v>
      </c>
      <c r="AG22" t="s">
        <v>1911</v>
      </c>
      <c r="BY22">
        <v>5</v>
      </c>
      <c r="CA22">
        <v>832</v>
      </c>
      <c r="DN22" s="487" t="s">
        <v>4952</v>
      </c>
      <c r="DO22" s="11" t="s">
        <v>98</v>
      </c>
      <c r="ED22" t="s">
        <v>2636</v>
      </c>
      <c r="EE22" t="s">
        <v>2730</v>
      </c>
      <c r="ER22" t="s">
        <v>3132</v>
      </c>
      <c r="ES22" t="s">
        <v>3132</v>
      </c>
    </row>
    <row r="23" spans="1:160">
      <c r="A23" t="str">
        <f>'Translate&amp;Prices&amp;Logo'!$B$21</f>
        <v>Imola white matt RAL 9003 - maximum profile length 2500 mm</v>
      </c>
      <c r="B23">
        <v>2</v>
      </c>
      <c r="C23" t="s">
        <v>1931</v>
      </c>
      <c r="D23">
        <v>0</v>
      </c>
      <c r="AA23" t="s">
        <v>1899</v>
      </c>
      <c r="AB23" t="s">
        <v>1907</v>
      </c>
      <c r="AC23">
        <v>1</v>
      </c>
      <c r="AD23">
        <v>0</v>
      </c>
      <c r="AF23" t="s">
        <v>215</v>
      </c>
      <c r="AG23" t="s">
        <v>1912</v>
      </c>
      <c r="BY23">
        <v>6</v>
      </c>
      <c r="CA23">
        <v>960</v>
      </c>
      <c r="DN23" s="487" t="s">
        <v>4953</v>
      </c>
      <c r="DO23" s="11" t="s">
        <v>99</v>
      </c>
      <c r="ED23" t="s">
        <v>2637</v>
      </c>
      <c r="EE23" t="s">
        <v>2731</v>
      </c>
      <c r="ER23" t="s">
        <v>3133</v>
      </c>
      <c r="ES23" t="s">
        <v>3133</v>
      </c>
    </row>
    <row r="24" spans="1:160">
      <c r="A24" t="str">
        <f>'Translate&amp;Prices&amp;Logo'!$B$45</f>
        <v>Imola gold - maximum profile length 2150 mm</v>
      </c>
      <c r="B24">
        <v>2</v>
      </c>
      <c r="C24" t="s">
        <v>1931</v>
      </c>
      <c r="D24">
        <v>0</v>
      </c>
      <c r="AF24" t="s">
        <v>216</v>
      </c>
      <c r="AG24" t="s">
        <v>1912</v>
      </c>
      <c r="BY24">
        <v>7</v>
      </c>
      <c r="DN24" s="487" t="s">
        <v>4954</v>
      </c>
      <c r="DO24" s="11" t="s">
        <v>100</v>
      </c>
      <c r="ED24" t="s">
        <v>2638</v>
      </c>
      <c r="EE24" t="s">
        <v>2732</v>
      </c>
      <c r="ER24" t="s">
        <v>3134</v>
      </c>
      <c r="ES24" t="s">
        <v>3134</v>
      </c>
    </row>
    <row r="25" spans="1:160">
      <c r="A25" t="str">
        <f>'Translate&amp;Prices&amp;Logo'!$B$22</f>
        <v>Modena (elox.) - maximum profile length 2500 mm</v>
      </c>
      <c r="B25">
        <v>2</v>
      </c>
      <c r="C25" t="s">
        <v>1122</v>
      </c>
      <c r="D25">
        <v>0</v>
      </c>
      <c r="AF25" t="s">
        <v>215</v>
      </c>
      <c r="AG25" t="s">
        <v>1913</v>
      </c>
      <c r="BY25">
        <v>8</v>
      </c>
      <c r="ED25" t="s">
        <v>2639</v>
      </c>
      <c r="EE25" t="s">
        <v>2733</v>
      </c>
      <c r="ER25" t="s">
        <v>3139</v>
      </c>
      <c r="ES25" t="s">
        <v>3139</v>
      </c>
    </row>
    <row r="26" spans="1:160">
      <c r="A26" t="str">
        <f>'Translate&amp;Prices&amp;Logo'!$B$23</f>
        <v>Modena black matt - maximum profile length 2500 mm</v>
      </c>
      <c r="B26">
        <v>2</v>
      </c>
      <c r="C26" t="s">
        <v>1122</v>
      </c>
      <c r="D26">
        <v>0</v>
      </c>
      <c r="AF26" t="s">
        <v>216</v>
      </c>
      <c r="AG26" t="s">
        <v>1913</v>
      </c>
      <c r="BY26">
        <v>9</v>
      </c>
      <c r="ED26" t="s">
        <v>2640</v>
      </c>
      <c r="EE26" t="s">
        <v>2734</v>
      </c>
      <c r="ER26" t="s">
        <v>3140</v>
      </c>
      <c r="ES26" t="s">
        <v>3140</v>
      </c>
    </row>
    <row r="27" spans="1:160">
      <c r="A27" t="str">
        <f>'Translate&amp;Prices&amp;Logo'!$B$25</f>
        <v>black black brushed - maximum profile length 2500 mm</v>
      </c>
      <c r="B27">
        <v>2</v>
      </c>
      <c r="C27" t="s">
        <v>1122</v>
      </c>
      <c r="D27">
        <v>0</v>
      </c>
      <c r="AF27" t="s">
        <v>215</v>
      </c>
      <c r="AG27" t="s">
        <v>1914</v>
      </c>
      <c r="BY27">
        <v>10</v>
      </c>
      <c r="ED27" t="s">
        <v>2641</v>
      </c>
      <c r="EE27" t="s">
        <v>2735</v>
      </c>
      <c r="ER27" t="s">
        <v>3141</v>
      </c>
      <c r="ES27" t="s">
        <v>3141</v>
      </c>
    </row>
    <row r="28" spans="1:160">
      <c r="A28" t="str">
        <f>'Translate&amp;Prices&amp;Logo'!$B$26</f>
        <v>Modena dark stainless steel brushed - maximum profile length 2500 mm</v>
      </c>
      <c r="B28">
        <v>2</v>
      </c>
      <c r="C28" t="s">
        <v>1122</v>
      </c>
      <c r="D28">
        <v>0</v>
      </c>
      <c r="AA28" t="s">
        <v>3053</v>
      </c>
      <c r="AB28" t="s">
        <v>1945</v>
      </c>
      <c r="AF28" t="s">
        <v>216</v>
      </c>
      <c r="AG28" t="s">
        <v>1914</v>
      </c>
      <c r="ED28" t="s">
        <v>2642</v>
      </c>
      <c r="EE28" t="s">
        <v>2736</v>
      </c>
      <c r="ER28" t="s">
        <v>3494</v>
      </c>
      <c r="ES28" t="s">
        <v>3494</v>
      </c>
    </row>
    <row r="29" spans="1:160">
      <c r="A29">
        <f>'Translate&amp;Prices&amp;Logo'!$B$27</f>
        <v>0</v>
      </c>
      <c r="B29">
        <v>2</v>
      </c>
      <c r="C29" t="s">
        <v>1122</v>
      </c>
      <c r="D29">
        <v>0</v>
      </c>
      <c r="AA29" t="s">
        <v>1909</v>
      </c>
      <c r="AB29" t="s">
        <v>1908</v>
      </c>
      <c r="AC29">
        <v>1</v>
      </c>
      <c r="AD29">
        <v>0</v>
      </c>
      <c r="AF29" t="s">
        <v>215</v>
      </c>
      <c r="AG29" t="s">
        <v>1915</v>
      </c>
      <c r="ED29" t="s">
        <v>2643</v>
      </c>
      <c r="EE29" t="s">
        <v>2737</v>
      </c>
      <c r="ER29" t="s">
        <v>3495</v>
      </c>
      <c r="ES29" t="s">
        <v>3495</v>
      </c>
    </row>
    <row r="30" spans="1:160">
      <c r="A30">
        <f>'Translate&amp;Prices&amp;Logo'!$B$28</f>
        <v>0</v>
      </c>
      <c r="B30">
        <v>2</v>
      </c>
      <c r="C30" t="s">
        <v>1122</v>
      </c>
      <c r="D30">
        <v>0</v>
      </c>
      <c r="AA30" t="s">
        <v>1909</v>
      </c>
      <c r="AB30" t="str">
        <f>CONCATENATE('Translate&amp;Prices&amp;Logo'!B664,"_K12")</f>
        <v>bottom_K12</v>
      </c>
      <c r="AC30">
        <v>1</v>
      </c>
      <c r="AD30">
        <v>0</v>
      </c>
      <c r="AF30" t="s">
        <v>216</v>
      </c>
      <c r="AG30" t="s">
        <v>1915</v>
      </c>
      <c r="ED30" t="s">
        <v>2644</v>
      </c>
      <c r="EE30" t="s">
        <v>2738</v>
      </c>
      <c r="ER30" t="s">
        <v>3496</v>
      </c>
      <c r="ES30" t="s">
        <v>3496</v>
      </c>
    </row>
    <row r="31" spans="1:160">
      <c r="A31" t="str">
        <f>'Translate&amp;Prices&amp;Logo'!$B$29</f>
        <v>Pisa (elox.) - maximum profile length 2500 mm</v>
      </c>
      <c r="B31">
        <v>2</v>
      </c>
      <c r="C31" t="s">
        <v>1931</v>
      </c>
      <c r="D31">
        <v>0</v>
      </c>
      <c r="AA31" t="s">
        <v>1909</v>
      </c>
      <c r="AB31" t="s">
        <v>1911</v>
      </c>
      <c r="AC31">
        <v>1</v>
      </c>
      <c r="AD31">
        <v>0</v>
      </c>
      <c r="AF31" t="s">
        <v>215</v>
      </c>
      <c r="AG31" t="s">
        <v>1916</v>
      </c>
      <c r="ED31" t="s">
        <v>2645</v>
      </c>
      <c r="EE31" t="s">
        <v>2739</v>
      </c>
      <c r="ER31" t="s">
        <v>3497</v>
      </c>
      <c r="ES31" t="s">
        <v>3497</v>
      </c>
    </row>
    <row r="32" spans="1:160">
      <c r="A32" t="str">
        <f>'Translate&amp;Prices&amp;Logo'!$B$53</f>
        <v>Pisa white gloss RAL 9003 - maximum profile length 2500 mm</v>
      </c>
      <c r="B32">
        <v>2</v>
      </c>
      <c r="C32" t="s">
        <v>1931</v>
      </c>
      <c r="D32">
        <v>0</v>
      </c>
      <c r="AA32" t="s">
        <v>1909</v>
      </c>
      <c r="AB32" t="str">
        <f>CONCATENATE('Translate&amp;Prices&amp;Logo'!B664,"_kraby")</f>
        <v>bottom_kraby</v>
      </c>
      <c r="AC32">
        <v>1</v>
      </c>
      <c r="AD32">
        <v>0</v>
      </c>
      <c r="AF32" t="s">
        <v>216</v>
      </c>
      <c r="AG32" t="s">
        <v>1916</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2646</v>
      </c>
      <c r="EE32" t="s">
        <v>2740</v>
      </c>
      <c r="ER32" t="s">
        <v>3498</v>
      </c>
      <c r="ES32" t="s">
        <v>3498</v>
      </c>
    </row>
    <row r="33" spans="1:149">
      <c r="A33" t="str">
        <f>'Translate&amp;Prices&amp;Logo'!$B$30</f>
        <v>Pisa black matt - maximum profile length 2500 mm</v>
      </c>
      <c r="B33">
        <v>2</v>
      </c>
      <c r="C33" t="s">
        <v>1931</v>
      </c>
      <c r="D33">
        <v>0</v>
      </c>
      <c r="AA33" t="s">
        <v>1909</v>
      </c>
      <c r="AB33" t="s">
        <v>1913</v>
      </c>
      <c r="AC33">
        <v>1</v>
      </c>
      <c r="AD33">
        <v>0</v>
      </c>
      <c r="AF33" t="s">
        <v>215</v>
      </c>
      <c r="AG33" t="s">
        <v>1918</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2647</v>
      </c>
      <c r="EE33" t="s">
        <v>2741</v>
      </c>
      <c r="ER33" t="s">
        <v>3499</v>
      </c>
      <c r="ES33" t="s">
        <v>3499</v>
      </c>
    </row>
    <row r="34" spans="1:149">
      <c r="A34" t="str">
        <f>'Translate&amp;Prices&amp;Logo'!$B$58</f>
        <v>Pisa gold - maximum profile length 2150 mm</v>
      </c>
      <c r="B34">
        <v>2</v>
      </c>
      <c r="C34" t="s">
        <v>1931</v>
      </c>
      <c r="D34">
        <v>0</v>
      </c>
      <c r="AB34" t="s">
        <v>1914</v>
      </c>
      <c r="AC34">
        <v>1</v>
      </c>
      <c r="AD34">
        <v>0</v>
      </c>
      <c r="AF34" t="s">
        <v>216</v>
      </c>
      <c r="AG34" t="s">
        <v>1918</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2648</v>
      </c>
      <c r="EE34" t="s">
        <v>2742</v>
      </c>
      <c r="ER34" t="s">
        <v>3142</v>
      </c>
      <c r="ES34" t="s">
        <v>3142</v>
      </c>
    </row>
    <row r="35" spans="1:149">
      <c r="A35" t="str">
        <f>'Translate&amp;Prices&amp;Logo'!$B$50</f>
        <v>Rocca (elox.) - maximum profile length 2150 mm</v>
      </c>
      <c r="B35">
        <v>1</v>
      </c>
      <c r="C35" t="s">
        <v>1122</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2649</v>
      </c>
      <c r="EE35" t="s">
        <v>2743</v>
      </c>
      <c r="ER35" t="s">
        <v>3143</v>
      </c>
      <c r="ES35" t="s">
        <v>3143</v>
      </c>
    </row>
    <row r="36" spans="1:149">
      <c r="A36" t="str">
        <f>'Translate&amp;Prices&amp;Logo'!$B$42</f>
        <v>Rocca black matt - maximum profile length 2150 mm</v>
      </c>
      <c r="B36">
        <v>1</v>
      </c>
      <c r="C36" t="s">
        <v>1122</v>
      </c>
      <c r="D36">
        <v>0</v>
      </c>
      <c r="ED36" t="s">
        <v>2588</v>
      </c>
      <c r="EE36" t="s">
        <v>2744</v>
      </c>
      <c r="ER36" t="s">
        <v>3144</v>
      </c>
      <c r="ES36" t="s">
        <v>3144</v>
      </c>
    </row>
    <row r="37" spans="1:149">
      <c r="A37">
        <f>'Translate&amp;Prices&amp;Logo'!$B$32</f>
        <v>0</v>
      </c>
      <c r="B37">
        <v>2</v>
      </c>
      <c r="C37" t="s">
        <v>1122</v>
      </c>
      <c r="D37">
        <v>0</v>
      </c>
      <c r="BY37" t="s">
        <v>2298</v>
      </c>
      <c r="ED37" t="s">
        <v>2589</v>
      </c>
      <c r="EE37" t="s">
        <v>2745</v>
      </c>
      <c r="ER37" t="s">
        <v>3189</v>
      </c>
      <c r="ES37" t="s">
        <v>3183</v>
      </c>
    </row>
    <row r="38" spans="1:149">
      <c r="A38">
        <f>'Translate&amp;Prices&amp;Logo'!$B$33</f>
        <v>0</v>
      </c>
      <c r="B38">
        <v>2</v>
      </c>
      <c r="C38" t="s">
        <v>1122</v>
      </c>
      <c r="D38">
        <v>0</v>
      </c>
      <c r="ED38" t="s">
        <v>2590</v>
      </c>
      <c r="EE38" t="s">
        <v>2746</v>
      </c>
      <c r="ER38" t="s">
        <v>3190</v>
      </c>
      <c r="ES38" t="s">
        <v>3184</v>
      </c>
    </row>
    <row r="39" spans="1:149">
      <c r="A39" t="str">
        <f>'Translate&amp;Prices&amp;Logo'!$B$34</f>
        <v>Verona (elox.) - maximum profile length 2500 mm</v>
      </c>
      <c r="B39">
        <v>1</v>
      </c>
      <c r="C39" t="s">
        <v>1122</v>
      </c>
      <c r="D39">
        <v>0</v>
      </c>
      <c r="AA39" t="s">
        <v>3537</v>
      </c>
      <c r="AB39" t="s">
        <v>3535</v>
      </c>
      <c r="ED39" t="s">
        <v>2591</v>
      </c>
      <c r="EE39" t="s">
        <v>2747</v>
      </c>
      <c r="ER39" t="s">
        <v>3191</v>
      </c>
      <c r="ES39" t="s">
        <v>3185</v>
      </c>
    </row>
    <row r="40" spans="1:149">
      <c r="A40" t="str">
        <f>'Translate&amp;Prices&amp;Logo'!$B$35</f>
        <v>Verona brushed aluminium - maximum profile length 2500 mm</v>
      </c>
      <c r="B40">
        <v>1</v>
      </c>
      <c r="C40" t="s">
        <v>1122</v>
      </c>
      <c r="D40">
        <v>0</v>
      </c>
      <c r="AA40" t="s">
        <v>3537</v>
      </c>
      <c r="AB40" t="str">
        <f>'Translate&amp;Prices&amp;Logo'!B659</f>
        <v>StrongLift_upper</v>
      </c>
      <c r="AC40">
        <v>1</v>
      </c>
      <c r="AD40">
        <v>0</v>
      </c>
      <c r="ED40" t="s">
        <v>2592</v>
      </c>
      <c r="EE40" t="s">
        <v>2748</v>
      </c>
      <c r="ER40" t="s">
        <v>3192</v>
      </c>
      <c r="ES40" t="s">
        <v>3186</v>
      </c>
    </row>
    <row r="41" spans="1:149">
      <c r="A41" t="str">
        <f>'Translate&amp;Prices&amp;Logo'!$B$37</f>
        <v>Verona black matt - maximum profile length 2500 mm</v>
      </c>
      <c r="B41">
        <v>1</v>
      </c>
      <c r="C41" t="s">
        <v>1122</v>
      </c>
      <c r="D41">
        <v>0</v>
      </c>
      <c r="AB41" t="str">
        <f>'Translate&amp;Prices&amp;Logo'!B660</f>
        <v>StrongLift_bottom</v>
      </c>
      <c r="AC41">
        <v>1</v>
      </c>
      <c r="AD41">
        <v>0</v>
      </c>
      <c r="ED41" t="s">
        <v>2593</v>
      </c>
      <c r="EE41" t="s">
        <v>2749</v>
      </c>
      <c r="ER41" t="s">
        <v>3193</v>
      </c>
      <c r="ES41" t="s">
        <v>3187</v>
      </c>
    </row>
    <row r="42" spans="1:149">
      <c r="A42" t="str">
        <f>'Translate&amp;Prices&amp;Logo'!$B$36</f>
        <v>Verona black gloss - maximum profile length 2500 mm</v>
      </c>
      <c r="B42">
        <v>1</v>
      </c>
      <c r="C42" t="s">
        <v>1122</v>
      </c>
      <c r="D42">
        <v>0</v>
      </c>
      <c r="AA42" t="s">
        <v>3054</v>
      </c>
      <c r="AB42" t="s">
        <v>1944</v>
      </c>
      <c r="ED42" t="s">
        <v>2594</v>
      </c>
      <c r="EE42" t="s">
        <v>2750</v>
      </c>
      <c r="ER42" t="s">
        <v>3194</v>
      </c>
      <c r="ES42" t="s">
        <v>3188</v>
      </c>
    </row>
    <row r="43" spans="1:149">
      <c r="A43" t="str">
        <f>'Translate&amp;Prices&amp;Logo'!$B$38</f>
        <v>Verona brown - maximum profile length 2500 mm</v>
      </c>
      <c r="B43">
        <v>1</v>
      </c>
      <c r="C43" t="s">
        <v>1122</v>
      </c>
      <c r="D43">
        <v>0</v>
      </c>
      <c r="AA43" t="s">
        <v>1917</v>
      </c>
      <c r="AB43" t="s">
        <v>2064</v>
      </c>
      <c r="AC43">
        <v>0</v>
      </c>
      <c r="AD43">
        <v>0</v>
      </c>
      <c r="ED43" t="s">
        <v>2595</v>
      </c>
      <c r="EE43" t="s">
        <v>2751</v>
      </c>
      <c r="ER43" t="s">
        <v>3508</v>
      </c>
      <c r="ES43" t="s">
        <v>3500</v>
      </c>
    </row>
    <row r="44" spans="1:149">
      <c r="A44" t="str">
        <f>'Translate&amp;Prices&amp;Logo'!$B$39</f>
        <v>Verona champagne - maximum profile length 2500 mm</v>
      </c>
      <c r="B44">
        <v>1</v>
      </c>
      <c r="C44" t="s">
        <v>1122</v>
      </c>
      <c r="D44">
        <v>0</v>
      </c>
      <c r="AA44" t="s">
        <v>1917</v>
      </c>
      <c r="AB44" t="s">
        <v>1918</v>
      </c>
      <c r="AC44">
        <v>1</v>
      </c>
      <c r="AD44">
        <v>0</v>
      </c>
      <c r="ED44" t="s">
        <v>2596</v>
      </c>
      <c r="EE44" t="s">
        <v>2752</v>
      </c>
      <c r="ER44" t="s">
        <v>3509</v>
      </c>
      <c r="ES44" t="s">
        <v>3501</v>
      </c>
    </row>
    <row r="45" spans="1:149">
      <c r="A45" t="str">
        <f>'Translate&amp;Prices&amp;Logo'!$B$40</f>
        <v>Verona dark stainless steel brushed - maximum profile length 2500 mm</v>
      </c>
      <c r="B45">
        <v>1</v>
      </c>
      <c r="C45" t="s">
        <v>1122</v>
      </c>
      <c r="D45">
        <v>0</v>
      </c>
      <c r="AB45" t="s">
        <v>2065</v>
      </c>
      <c r="AC45">
        <v>0</v>
      </c>
      <c r="AD45">
        <v>0</v>
      </c>
      <c r="ED45" t="s">
        <v>2597</v>
      </c>
      <c r="EE45" t="s">
        <v>2753</v>
      </c>
      <c r="ER45" t="s">
        <v>3213</v>
      </c>
      <c r="ES45" t="s">
        <v>3207</v>
      </c>
    </row>
    <row r="46" spans="1:149">
      <c r="A46" t="str">
        <f>'Translate&amp;Prices&amp;Logo'!$B$41</f>
        <v>Verona light stainless steel (Acier grata) - maximum profile length 2500 mm</v>
      </c>
      <c r="B46">
        <v>1</v>
      </c>
      <c r="C46" t="s">
        <v>1122</v>
      </c>
      <c r="D46">
        <v>0</v>
      </c>
      <c r="ED46" t="s">
        <v>2598</v>
      </c>
      <c r="EE46" t="s">
        <v>2754</v>
      </c>
      <c r="ER46" t="s">
        <v>3214</v>
      </c>
      <c r="ES46" t="s">
        <v>3208</v>
      </c>
    </row>
    <row r="47" spans="1:149">
      <c r="A47" t="str">
        <f>'Translate&amp;Prices&amp;Logo'!$B$24</f>
        <v>Verona gold - maximum profile length 2150 mm</v>
      </c>
      <c r="B47">
        <v>1</v>
      </c>
      <c r="C47" t="s">
        <v>1122</v>
      </c>
      <c r="D47">
        <v>0</v>
      </c>
      <c r="ED47" t="s">
        <v>2599</v>
      </c>
      <c r="EE47" t="s">
        <v>2755</v>
      </c>
      <c r="ER47" t="s">
        <v>3215</v>
      </c>
      <c r="ES47" t="s">
        <v>3209</v>
      </c>
    </row>
    <row r="48" spans="1:149">
      <c r="A48" t="str">
        <f>'Translate&amp;Prices&amp;Logo'!$B$56</f>
        <v>Verona gold brushed - maximum profile length 2150 mm</v>
      </c>
      <c r="B48">
        <v>1</v>
      </c>
      <c r="C48" t="s">
        <v>1122</v>
      </c>
      <c r="D48">
        <v>0</v>
      </c>
      <c r="ED48" t="s">
        <v>2600</v>
      </c>
      <c r="EE48" t="s">
        <v>2756</v>
      </c>
      <c r="ER48" t="s">
        <v>3216</v>
      </c>
      <c r="ES48" t="s">
        <v>3210</v>
      </c>
    </row>
    <row r="49" spans="1:149">
      <c r="A49" t="str">
        <f>'Translate&amp;Prices&amp;Logo'!$B$43</f>
        <v>Vivaro (elox.) - maximum profile length 2500 mm</v>
      </c>
      <c r="B49">
        <v>2</v>
      </c>
      <c r="C49" t="s">
        <v>1122</v>
      </c>
      <c r="D49">
        <v>1</v>
      </c>
      <c r="AA49" t="s">
        <v>3055</v>
      </c>
      <c r="AB49" t="s">
        <v>3057</v>
      </c>
      <c r="ED49" t="s">
        <v>2601</v>
      </c>
      <c r="EE49" t="s">
        <v>2757</v>
      </c>
      <c r="ER49" t="s">
        <v>3217</v>
      </c>
      <c r="ES49" t="s">
        <v>3211</v>
      </c>
    </row>
    <row r="50" spans="1:149">
      <c r="A50" t="str">
        <f>'Translate&amp;Prices&amp;Logo'!$B$44</f>
        <v>Vivaro black matt - maximum profile length 2500 mm</v>
      </c>
      <c r="B50">
        <v>2</v>
      </c>
      <c r="C50" t="s">
        <v>1122</v>
      </c>
      <c r="D50">
        <v>1</v>
      </c>
      <c r="AB50" t="s">
        <v>3408</v>
      </c>
      <c r="AC50">
        <v>0</v>
      </c>
      <c r="AD50">
        <v>0</v>
      </c>
      <c r="ED50" t="s">
        <v>2602</v>
      </c>
      <c r="EE50" t="s">
        <v>2758</v>
      </c>
      <c r="ER50" t="s">
        <v>3218</v>
      </c>
      <c r="ES50" t="s">
        <v>3212</v>
      </c>
    </row>
    <row r="51" spans="1:149">
      <c r="A51" t="str">
        <f>'Translate&amp;Prices&amp;Logo'!$B$46</f>
        <v>Vivaro dark stainless steel - maximum profile length 2500 mm</v>
      </c>
      <c r="B51">
        <v>2</v>
      </c>
      <c r="C51" t="s">
        <v>1122</v>
      </c>
      <c r="D51">
        <v>0</v>
      </c>
      <c r="AB51" t="s">
        <v>3410</v>
      </c>
      <c r="AC51">
        <v>0</v>
      </c>
      <c r="AD51">
        <v>0</v>
      </c>
      <c r="ED51" t="s">
        <v>2603</v>
      </c>
      <c r="EE51" t="s">
        <v>2759</v>
      </c>
      <c r="ER51" t="s">
        <v>3510</v>
      </c>
      <c r="ES51" t="s">
        <v>3502</v>
      </c>
    </row>
    <row r="52" spans="1:149">
      <c r="A52" t="str">
        <f>'Translate&amp;Prices&amp;Logo'!$B$47</f>
        <v>Vivaro white matt RAL 9003 - maximum profile length 2500 mm</v>
      </c>
      <c r="B52">
        <v>2</v>
      </c>
      <c r="C52" t="s">
        <v>1122</v>
      </c>
      <c r="D52">
        <v>0</v>
      </c>
      <c r="AB52" t="s">
        <v>3405</v>
      </c>
      <c r="AC52">
        <v>0</v>
      </c>
      <c r="AD52">
        <v>0</v>
      </c>
      <c r="ED52" t="s">
        <v>2604</v>
      </c>
      <c r="EE52" t="s">
        <v>2760</v>
      </c>
      <c r="ER52" t="s">
        <v>3511</v>
      </c>
      <c r="ES52" t="s">
        <v>3503</v>
      </c>
    </row>
    <row r="53" spans="1:149">
      <c r="A53" t="str">
        <f>'Translate&amp;Prices&amp;Logo'!$B$48</f>
        <v>Vivaro white gloss RAL 9003 - maximum profile length 2500 mm</v>
      </c>
      <c r="B53">
        <v>2</v>
      </c>
      <c r="C53" t="s">
        <v>1122</v>
      </c>
      <c r="D53">
        <v>0</v>
      </c>
      <c r="AB53" t="s">
        <v>3406</v>
      </c>
      <c r="AC53">
        <v>0</v>
      </c>
      <c r="AD53">
        <v>0</v>
      </c>
      <c r="ED53" t="s">
        <v>2605</v>
      </c>
      <c r="EE53" t="s">
        <v>2761</v>
      </c>
      <c r="ER53" t="s">
        <v>3512</v>
      </c>
      <c r="ES53" t="s">
        <v>3504</v>
      </c>
    </row>
    <row r="54" spans="1:149">
      <c r="A54" t="str">
        <f>'Translate&amp;Prices&amp;Logo'!$B$31</f>
        <v>Vivaro gold - maximum profile length 2150 mm</v>
      </c>
      <c r="B54">
        <v>2</v>
      </c>
      <c r="C54" t="s">
        <v>1122</v>
      </c>
      <c r="D54">
        <v>1</v>
      </c>
      <c r="ED54" t="s">
        <v>2606</v>
      </c>
      <c r="EE54" t="s">
        <v>2762</v>
      </c>
      <c r="ER54" t="s">
        <v>3513</v>
      </c>
      <c r="ES54" t="s">
        <v>3505</v>
      </c>
    </row>
    <row r="55" spans="1:149">
      <c r="A55" t="str">
        <f>'Translate&amp;Prices&amp;Logo'!$B$57</f>
        <v>Vivaro gold brushed - maximum profile length 2150 mm</v>
      </c>
      <c r="B55">
        <v>2</v>
      </c>
      <c r="C55" t="s">
        <v>1122</v>
      </c>
      <c r="D55">
        <v>0</v>
      </c>
      <c r="ED55" t="s">
        <v>2607</v>
      </c>
      <c r="EE55" t="s">
        <v>2763</v>
      </c>
      <c r="ER55" t="s">
        <v>3514</v>
      </c>
      <c r="ES55" t="s">
        <v>3506</v>
      </c>
    </row>
    <row r="56" spans="1:149">
      <c r="A56">
        <f>'Translate&amp;Prices&amp;Logo'!$B$77</f>
        <v>0</v>
      </c>
      <c r="B56">
        <v>3</v>
      </c>
      <c r="C56" t="s">
        <v>1122</v>
      </c>
      <c r="D56">
        <v>0</v>
      </c>
      <c r="ED56" t="s">
        <v>2608</v>
      </c>
      <c r="EE56" t="s">
        <v>2764</v>
      </c>
      <c r="ER56" t="s">
        <v>3515</v>
      </c>
      <c r="ES56" t="s">
        <v>3507</v>
      </c>
    </row>
    <row r="57" spans="1:149">
      <c r="A57">
        <f>'Translate&amp;Prices&amp;Logo'!$B$78</f>
        <v>0</v>
      </c>
      <c r="B57">
        <v>3</v>
      </c>
      <c r="C57" t="s">
        <v>1122</v>
      </c>
      <c r="D57">
        <v>0</v>
      </c>
      <c r="ED57" t="s">
        <v>2609</v>
      </c>
      <c r="EE57" t="s">
        <v>2765</v>
      </c>
      <c r="ER57" t="s">
        <v>3195</v>
      </c>
      <c r="ES57" t="s">
        <v>3183</v>
      </c>
    </row>
    <row r="58" spans="1:149">
      <c r="A58">
        <f>'Translate&amp;Prices&amp;Logo'!$B$79</f>
        <v>0</v>
      </c>
      <c r="B58">
        <v>3</v>
      </c>
      <c r="C58" t="s">
        <v>1122</v>
      </c>
      <c r="D58">
        <v>0</v>
      </c>
      <c r="ED58" t="s">
        <v>2610</v>
      </c>
      <c r="EE58" t="s">
        <v>2766</v>
      </c>
      <c r="ER58" t="s">
        <v>3196</v>
      </c>
      <c r="ES58" t="s">
        <v>3184</v>
      </c>
    </row>
    <row r="59" spans="1:149">
      <c r="A59">
        <f>'Translate&amp;Prices&amp;Logo'!$B$82</f>
        <v>0</v>
      </c>
      <c r="B59">
        <v>3</v>
      </c>
      <c r="C59" t="s">
        <v>1122</v>
      </c>
      <c r="D59">
        <v>0</v>
      </c>
      <c r="AA59" t="s">
        <v>3056</v>
      </c>
      <c r="AB59" t="s">
        <v>3058</v>
      </c>
      <c r="ED59" t="s">
        <v>2611</v>
      </c>
      <c r="EE59" t="s">
        <v>2767</v>
      </c>
      <c r="ER59" t="s">
        <v>3197</v>
      </c>
      <c r="ES59" t="s">
        <v>3185</v>
      </c>
    </row>
    <row r="60" spans="1:149">
      <c r="A60" t="str">
        <f>'Translate&amp;Prices&amp;Logo'!$B$80</f>
        <v>Rocca elox (Left and Right) + Varna elox (Top and Bottom)</v>
      </c>
      <c r="B60">
        <v>3</v>
      </c>
      <c r="C60" t="s">
        <v>1122</v>
      </c>
      <c r="D60">
        <v>0</v>
      </c>
      <c r="AB60" t="s">
        <v>1901</v>
      </c>
      <c r="AC60">
        <v>0</v>
      </c>
      <c r="AD60">
        <v>0</v>
      </c>
      <c r="ED60" t="s">
        <v>2612</v>
      </c>
      <c r="EE60" t="s">
        <v>2768</v>
      </c>
      <c r="ER60" t="s">
        <v>3198</v>
      </c>
      <c r="ES60" t="s">
        <v>3186</v>
      </c>
    </row>
    <row r="61" spans="1:149">
      <c r="A61" t="str">
        <f>'Translate&amp;Prices&amp;Logo'!$B$81</f>
        <v>Rocca black (Left and right) + Varna black (Top and bottom)</v>
      </c>
      <c r="B61">
        <v>3</v>
      </c>
      <c r="C61" t="s">
        <v>1122</v>
      </c>
      <c r="D61">
        <v>0</v>
      </c>
      <c r="AB61" t="s">
        <v>1903</v>
      </c>
      <c r="AC61">
        <v>0</v>
      </c>
      <c r="AD61">
        <v>0</v>
      </c>
      <c r="ED61" t="s">
        <v>2613</v>
      </c>
      <c r="EE61" t="s">
        <v>2769</v>
      </c>
      <c r="ER61" t="s">
        <v>3199</v>
      </c>
      <c r="ES61" t="s">
        <v>3187</v>
      </c>
    </row>
    <row r="62" spans="1:149">
      <c r="A62" t="str">
        <f>'Translate&amp;Prices&amp;Logo'!$B$71</f>
        <v>ROMA black matt  - maximum profile length 2696 mm</v>
      </c>
      <c r="B62">
        <v>1</v>
      </c>
      <c r="C62" t="s">
        <v>1122</v>
      </c>
      <c r="D62">
        <v>0</v>
      </c>
      <c r="AB62" t="s">
        <v>1904</v>
      </c>
      <c r="AC62">
        <v>0</v>
      </c>
      <c r="AD62">
        <v>0</v>
      </c>
      <c r="ED62" t="s">
        <v>2614</v>
      </c>
      <c r="EE62" t="s">
        <v>2770</v>
      </c>
      <c r="ER62" t="s">
        <v>3200</v>
      </c>
      <c r="ES62" t="s">
        <v>3188</v>
      </c>
    </row>
    <row r="63" spans="1:149">
      <c r="A63" t="str">
        <f>'Translate&amp;Prices&amp;Logo'!$B$72</f>
        <v>ROMA champagne matt  - maximum profile length 2696 mm</v>
      </c>
      <c r="B63">
        <v>1</v>
      </c>
      <c r="C63" t="s">
        <v>1122</v>
      </c>
      <c r="D63">
        <v>0</v>
      </c>
      <c r="AB63" t="s">
        <v>1906</v>
      </c>
      <c r="AC63">
        <v>0</v>
      </c>
      <c r="AD63">
        <v>0</v>
      </c>
      <c r="ED63" t="s">
        <v>2615</v>
      </c>
      <c r="EE63" t="s">
        <v>2771</v>
      </c>
      <c r="ER63" t="s">
        <v>3516</v>
      </c>
      <c r="ES63" t="s">
        <v>3500</v>
      </c>
    </row>
    <row r="64" spans="1:149">
      <c r="A64" t="str">
        <f>'Translate&amp;Prices&amp;Logo'!$B$73</f>
        <v>ROMA GRIP black matt  - maximum profile length 2696 mm</v>
      </c>
      <c r="B64">
        <v>1</v>
      </c>
      <c r="C64" t="s">
        <v>1122</v>
      </c>
      <c r="D64">
        <v>0</v>
      </c>
      <c r="ED64" t="s">
        <v>2616</v>
      </c>
      <c r="EE64" t="s">
        <v>2772</v>
      </c>
      <c r="ER64" t="s">
        <v>3517</v>
      </c>
      <c r="ES64" t="s">
        <v>3501</v>
      </c>
    </row>
    <row r="65" spans="1:149">
      <c r="A65" t="str">
        <f>'Translate&amp;Prices&amp;Logo'!$B$74</f>
        <v>ROMA GRIP champagne matt  - maximum profile length 2696 mm</v>
      </c>
      <c r="B65">
        <v>1</v>
      </c>
      <c r="C65" t="s">
        <v>1122</v>
      </c>
      <c r="D65">
        <v>0</v>
      </c>
      <c r="ED65" t="s">
        <v>2650</v>
      </c>
      <c r="EE65" t="s">
        <v>2711</v>
      </c>
      <c r="ER65" t="s">
        <v>3219</v>
      </c>
      <c r="ES65" t="s">
        <v>3207</v>
      </c>
    </row>
    <row r="66" spans="1:149">
      <c r="ED66" t="s">
        <v>2651</v>
      </c>
      <c r="EE66" t="s">
        <v>2712</v>
      </c>
      <c r="ER66" t="s">
        <v>3220</v>
      </c>
      <c r="ES66" t="s">
        <v>3208</v>
      </c>
    </row>
    <row r="67" spans="1:149">
      <c r="Q67" t="str">
        <f>'Translate&amp;Prices&amp;Logo'!$B$69</f>
        <v>BRW champagne - maximum profile length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3518</v>
      </c>
      <c r="ES71" t="s">
        <v>3502</v>
      </c>
    </row>
    <row r="72" spans="1:149">
      <c r="ED72" t="s">
        <v>2657</v>
      </c>
      <c r="EE72" t="s">
        <v>2718</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3526</v>
      </c>
      <c r="ES91" t="s">
        <v>3502</v>
      </c>
    </row>
    <row r="92" spans="134:149">
      <c r="ED92" t="s">
        <v>2675</v>
      </c>
      <c r="EE92" t="s">
        <v>2737</v>
      </c>
      <c r="ER92" t="s">
        <v>3527</v>
      </c>
      <c r="ES92" t="s">
        <v>3503</v>
      </c>
    </row>
    <row r="93" spans="134:149">
      <c r="ED93" t="s">
        <v>2676</v>
      </c>
      <c r="EE93" t="s">
        <v>2738</v>
      </c>
      <c r="ER93" t="s">
        <v>3528</v>
      </c>
      <c r="ES93" t="s">
        <v>3504</v>
      </c>
    </row>
    <row r="94" spans="134:149">
      <c r="ED94" t="s">
        <v>2677</v>
      </c>
      <c r="EE94" t="s">
        <v>2739</v>
      </c>
      <c r="ER94" t="s">
        <v>3529</v>
      </c>
      <c r="ES94" t="s">
        <v>3505</v>
      </c>
    </row>
    <row r="95" spans="134:149">
      <c r="ED95" t="s">
        <v>2678</v>
      </c>
      <c r="EE95" t="s">
        <v>2740</v>
      </c>
      <c r="ER95" t="s">
        <v>3530</v>
      </c>
      <c r="ES95" t="s">
        <v>3506</v>
      </c>
    </row>
    <row r="96" spans="134:149">
      <c r="ED96" t="s">
        <v>2679</v>
      </c>
      <c r="EE96" t="s">
        <v>2741</v>
      </c>
      <c r="ER96" t="s">
        <v>3531</v>
      </c>
      <c r="ES96" t="s">
        <v>3507</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8"/>
      <c r="ED222" t="s">
        <v>2804</v>
      </c>
      <c r="EE222" t="s">
        <v>2741</v>
      </c>
    </row>
    <row r="223" spans="124:135">
      <c r="DT223" s="338"/>
      <c r="ED223" t="s">
        <v>2805</v>
      </c>
      <c r="EE223" t="s">
        <v>2742</v>
      </c>
    </row>
    <row r="224" spans="124:135">
      <c r="DT224" s="338"/>
      <c r="ED224" t="s">
        <v>2806</v>
      </c>
      <c r="EE224" t="s">
        <v>2743</v>
      </c>
    </row>
    <row r="225" spans="124:135">
      <c r="DT225" s="338"/>
      <c r="ED225" t="s">
        <v>2807</v>
      </c>
      <c r="EE225" t="s">
        <v>2744</v>
      </c>
    </row>
    <row r="226" spans="124:135">
      <c r="DT226" s="366"/>
      <c r="ED226" t="s">
        <v>2808</v>
      </c>
      <c r="EE226" t="s">
        <v>2745</v>
      </c>
    </row>
    <row r="227" spans="124:135">
      <c r="DT227" s="366"/>
      <c r="ED227" t="s">
        <v>2809</v>
      </c>
      <c r="EE227" t="s">
        <v>2746</v>
      </c>
    </row>
    <row r="228" spans="124:135">
      <c r="DT228" s="366"/>
      <c r="ED228" t="s">
        <v>2810</v>
      </c>
      <c r="EE228" t="s">
        <v>2747</v>
      </c>
    </row>
    <row r="229" spans="124:135">
      <c r="DT229" s="366"/>
      <c r="ED229" t="s">
        <v>2811</v>
      </c>
      <c r="EE229" t="s">
        <v>2748</v>
      </c>
    </row>
    <row r="230" spans="124:135">
      <c r="DT230" s="365"/>
      <c r="ED230" t="s">
        <v>2812</v>
      </c>
      <c r="EE230" t="s">
        <v>2749</v>
      </c>
    </row>
    <row r="231" spans="124:135">
      <c r="DT231" s="365"/>
      <c r="ED231" t="s">
        <v>2813</v>
      </c>
      <c r="EE231" t="s">
        <v>2750</v>
      </c>
    </row>
    <row r="232" spans="124:135">
      <c r="DT232" s="365"/>
      <c r="ED232" t="s">
        <v>2814</v>
      </c>
      <c r="EE232" t="s">
        <v>2751</v>
      </c>
    </row>
    <row r="233" spans="124:135">
      <c r="DT233" s="365"/>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5"/>
      <c r="ED238" t="s">
        <v>2820</v>
      </c>
      <c r="EE238" t="s">
        <v>2757</v>
      </c>
    </row>
    <row r="239" spans="124:135">
      <c r="DT239" s="365"/>
      <c r="ED239" t="s">
        <v>2821</v>
      </c>
      <c r="EE239" t="s">
        <v>2758</v>
      </c>
    </row>
    <row r="240" spans="124:135">
      <c r="DT240" s="365"/>
      <c r="ED240" t="s">
        <v>2822</v>
      </c>
      <c r="EE240" t="s">
        <v>2759</v>
      </c>
    </row>
    <row r="241" spans="124:135">
      <c r="DT241" s="365"/>
      <c r="ED241" t="s">
        <v>2823</v>
      </c>
      <c r="EE241" t="s">
        <v>2760</v>
      </c>
    </row>
    <row r="242" spans="124:135">
      <c r="DT242" s="351"/>
      <c r="ED242" t="s">
        <v>2824</v>
      </c>
      <c r="EE242" t="s">
        <v>2761</v>
      </c>
    </row>
    <row r="243" spans="124:135">
      <c r="ED243" t="s">
        <v>2825</v>
      </c>
      <c r="EE243" t="s">
        <v>2762</v>
      </c>
    </row>
    <row r="244" spans="124:135">
      <c r="DT244" s="351"/>
      <c r="ED244" t="s">
        <v>2826</v>
      </c>
      <c r="EE244" t="s">
        <v>2763</v>
      </c>
    </row>
    <row r="245" spans="124:135">
      <c r="DT245" s="351"/>
      <c r="ED245" t="s">
        <v>2827</v>
      </c>
      <c r="EE245" t="s">
        <v>2764</v>
      </c>
    </row>
    <row r="246" spans="124:135">
      <c r="DT246" s="351"/>
      <c r="ED246" t="s">
        <v>2828</v>
      </c>
      <c r="EE246" t="s">
        <v>2765</v>
      </c>
    </row>
    <row r="247" spans="124:135">
      <c r="DT247" s="387"/>
      <c r="ED247" t="s">
        <v>2829</v>
      </c>
      <c r="EE247" t="s">
        <v>2766</v>
      </c>
    </row>
    <row r="248" spans="124:135">
      <c r="DT248" s="387"/>
      <c r="ED248" t="s">
        <v>2830</v>
      </c>
      <c r="EE248" t="s">
        <v>2767</v>
      </c>
    </row>
    <row r="249" spans="124:135">
      <c r="DT249" s="387"/>
      <c r="ED249" t="s">
        <v>2831</v>
      </c>
      <c r="EE249" t="s">
        <v>2768</v>
      </c>
    </row>
    <row r="250" spans="124:135">
      <c r="DT250" s="387"/>
      <c r="ED250" t="s">
        <v>2832</v>
      </c>
      <c r="EE250" t="s">
        <v>2769</v>
      </c>
    </row>
    <row r="251" spans="124:135">
      <c r="DT251" s="387"/>
      <c r="ED251" t="s">
        <v>2833</v>
      </c>
      <c r="EE251" t="s">
        <v>2770</v>
      </c>
    </row>
    <row r="252" spans="124:135">
      <c r="DT252" s="387"/>
      <c r="ED252" t="s">
        <v>2834</v>
      </c>
      <c r="EE252" t="s">
        <v>2771</v>
      </c>
    </row>
    <row r="253" spans="124:135">
      <c r="DT253" s="387"/>
      <c r="ED253" t="s">
        <v>2835</v>
      </c>
      <c r="EE253" t="s">
        <v>2772</v>
      </c>
    </row>
    <row r="254" spans="124:135">
      <c r="DT254" s="387"/>
      <c r="ED254" t="s">
        <v>2836</v>
      </c>
      <c r="EE254" t="s">
        <v>2711</v>
      </c>
    </row>
    <row r="255" spans="124:135">
      <c r="DT255" s="387"/>
      <c r="ED255" t="s">
        <v>2837</v>
      </c>
      <c r="EE255" t="s">
        <v>2712</v>
      </c>
    </row>
    <row r="256" spans="124:135">
      <c r="DT256" s="387"/>
      <c r="ED256" t="s">
        <v>2838</v>
      </c>
      <c r="EE256" t="s">
        <v>2713</v>
      </c>
    </row>
    <row r="257" spans="118:135">
      <c r="ED257" t="s">
        <v>2839</v>
      </c>
      <c r="EE257" t="s">
        <v>2714</v>
      </c>
    </row>
    <row r="258" spans="118:135">
      <c r="ED258" t="s">
        <v>2840</v>
      </c>
      <c r="EE258" t="s">
        <v>2715</v>
      </c>
    </row>
    <row r="259" spans="118:135">
      <c r="DN259" s="351"/>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6"/>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8"/>
      <c r="DU292" s="365"/>
      <c r="ED292" t="s">
        <v>2874</v>
      </c>
      <c r="EE292" t="s">
        <v>2748</v>
      </c>
    </row>
    <row r="293" spans="124:135">
      <c r="DT293" s="338"/>
      <c r="DU293" s="365"/>
      <c r="ED293" t="s">
        <v>2875</v>
      </c>
      <c r="EE293" t="s">
        <v>2749</v>
      </c>
    </row>
    <row r="294" spans="124:135">
      <c r="DT294" s="338"/>
      <c r="DU294" s="365"/>
      <c r="ED294" t="s">
        <v>2876</v>
      </c>
      <c r="EE294" t="s">
        <v>2750</v>
      </c>
    </row>
    <row r="295" spans="124:135">
      <c r="DT295" s="338"/>
      <c r="DU295" s="365"/>
      <c r="ED295" t="s">
        <v>2877</v>
      </c>
      <c r="EE295" t="s">
        <v>2751</v>
      </c>
    </row>
    <row r="296" spans="124:135">
      <c r="DT296" s="366"/>
      <c r="DU296" s="365"/>
      <c r="ED296" t="s">
        <v>2878</v>
      </c>
      <c r="EE296" t="s">
        <v>2752</v>
      </c>
    </row>
    <row r="297" spans="124:135">
      <c r="DT297" s="366"/>
      <c r="DU297" s="365"/>
      <c r="ED297" t="s">
        <v>2879</v>
      </c>
      <c r="EE297" t="s">
        <v>2753</v>
      </c>
    </row>
    <row r="298" spans="124:135">
      <c r="DT298" s="366"/>
      <c r="DU298" s="365"/>
      <c r="ED298" t="s">
        <v>2880</v>
      </c>
      <c r="EE298" t="s">
        <v>2754</v>
      </c>
    </row>
    <row r="299" spans="124:135">
      <c r="DT299" s="366"/>
      <c r="DU299" s="365"/>
      <c r="ED299" t="s">
        <v>2881</v>
      </c>
      <c r="EE299" t="s">
        <v>2755</v>
      </c>
    </row>
    <row r="300" spans="124:135">
      <c r="DT300" s="365"/>
      <c r="DU300" s="365"/>
      <c r="ED300" t="s">
        <v>2882</v>
      </c>
      <c r="EE300" t="s">
        <v>2756</v>
      </c>
    </row>
    <row r="301" spans="124:135">
      <c r="DT301" s="365"/>
      <c r="DU301" s="365"/>
      <c r="ED301" t="s">
        <v>2883</v>
      </c>
      <c r="EE301" t="s">
        <v>2757</v>
      </c>
    </row>
    <row r="302" spans="124:135">
      <c r="DT302" s="365"/>
      <c r="DU302" s="365"/>
      <c r="ED302" t="s">
        <v>2884</v>
      </c>
      <c r="EE302" t="s">
        <v>2758</v>
      </c>
    </row>
    <row r="303" spans="124:135">
      <c r="DT303" s="365"/>
      <c r="DU303" s="365"/>
      <c r="ED303" t="s">
        <v>2885</v>
      </c>
      <c r="EE303" t="s">
        <v>2759</v>
      </c>
    </row>
    <row r="304" spans="124:135">
      <c r="DT304" s="168"/>
      <c r="DU304" s="365"/>
      <c r="ED304" t="s">
        <v>2886</v>
      </c>
      <c r="EE304" t="s">
        <v>2760</v>
      </c>
    </row>
    <row r="305" spans="124:135">
      <c r="DT305" s="168"/>
      <c r="DU305" s="365"/>
      <c r="ED305" t="s">
        <v>2887</v>
      </c>
      <c r="EE305" t="s">
        <v>2761</v>
      </c>
    </row>
    <row r="306" spans="124:135">
      <c r="DT306" s="168"/>
      <c r="DU306" s="365"/>
      <c r="ED306" t="s">
        <v>2888</v>
      </c>
      <c r="EE306" t="s">
        <v>2762</v>
      </c>
    </row>
    <row r="307" spans="124:135">
      <c r="DT307" s="168"/>
      <c r="DU307" s="365"/>
      <c r="ED307" t="s">
        <v>2889</v>
      </c>
      <c r="EE307" t="s">
        <v>2763</v>
      </c>
    </row>
    <row r="308" spans="124:135">
      <c r="DT308" s="365"/>
      <c r="DU308" s="365"/>
      <c r="ED308" t="s">
        <v>2890</v>
      </c>
      <c r="EE308" t="s">
        <v>2764</v>
      </c>
    </row>
    <row r="309" spans="124:135">
      <c r="DT309" s="365"/>
      <c r="DU309" s="365"/>
      <c r="ED309" t="s">
        <v>2891</v>
      </c>
      <c r="EE309" t="s">
        <v>2765</v>
      </c>
    </row>
    <row r="310" spans="124:135">
      <c r="DT310" s="365"/>
      <c r="DU310" s="365"/>
      <c r="ED310" t="s">
        <v>2892</v>
      </c>
      <c r="EE310" t="s">
        <v>2766</v>
      </c>
    </row>
    <row r="311" spans="124:135">
      <c r="DT311" s="365"/>
      <c r="DU311" s="365"/>
      <c r="ED311" t="s">
        <v>2893</v>
      </c>
      <c r="EE311" t="s">
        <v>2767</v>
      </c>
    </row>
    <row r="312" spans="124:135">
      <c r="DT312" s="387"/>
      <c r="DU312" s="387"/>
      <c r="ED312" t="s">
        <v>2894</v>
      </c>
      <c r="EE312" t="s">
        <v>2768</v>
      </c>
    </row>
    <row r="313" spans="124:135">
      <c r="DT313" s="387"/>
      <c r="DU313" s="387"/>
      <c r="ED313" t="s">
        <v>2895</v>
      </c>
      <c r="EE313" t="s">
        <v>2769</v>
      </c>
    </row>
    <row r="314" spans="124:135">
      <c r="DT314" s="387"/>
      <c r="DU314" s="387"/>
      <c r="ED314" t="s">
        <v>2896</v>
      </c>
      <c r="EE314" t="s">
        <v>2770</v>
      </c>
    </row>
    <row r="315" spans="124:135">
      <c r="DT315" s="387"/>
      <c r="DU315" s="387"/>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6" t="s">
        <v>3590</v>
      </c>
      <c r="EE331" t="s">
        <v>3588</v>
      </c>
    </row>
    <row r="332" spans="134:135">
      <c r="ED332" t="s">
        <v>3591</v>
      </c>
      <c r="EE332" t="s">
        <v>3589</v>
      </c>
    </row>
    <row r="333" spans="134:135">
      <c r="ED333" t="s">
        <v>3689</v>
      </c>
      <c r="EE333" t="s">
        <v>3690</v>
      </c>
    </row>
    <row r="334" spans="134:135">
      <c r="ED334" t="s">
        <v>3691</v>
      </c>
      <c r="EE334" t="s">
        <v>3692</v>
      </c>
    </row>
    <row r="335" spans="134:135">
      <c r="ED335" t="s">
        <v>3693</v>
      </c>
      <c r="EE335" t="s">
        <v>3694</v>
      </c>
    </row>
    <row r="336" spans="134:135">
      <c r="ED336" t="s">
        <v>3695</v>
      </c>
      <c r="EE336" t="s">
        <v>3696</v>
      </c>
    </row>
    <row r="337" spans="134:135">
      <c r="ED337" t="s">
        <v>3697</v>
      </c>
      <c r="EE337" t="s">
        <v>3698</v>
      </c>
    </row>
    <row r="338" spans="134:135">
      <c r="ED338" t="s">
        <v>3699</v>
      </c>
      <c r="EE338" t="s">
        <v>3700</v>
      </c>
    </row>
    <row r="339" spans="134:135">
      <c r="ED339" t="s">
        <v>3701</v>
      </c>
      <c r="EE339" t="s">
        <v>3702</v>
      </c>
    </row>
    <row r="340" spans="134:135">
      <c r="ED340" t="s">
        <v>3703</v>
      </c>
      <c r="EE340" t="s">
        <v>3704</v>
      </c>
    </row>
    <row r="341" spans="134:135">
      <c r="ED341" t="s">
        <v>3705</v>
      </c>
      <c r="EE341" t="s">
        <v>3706</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8"/>
      <c r="ED353" t="s">
        <v>3728</v>
      </c>
      <c r="EE353" t="s">
        <v>3729</v>
      </c>
    </row>
    <row r="354" spans="127:135">
      <c r="DW354" s="338"/>
      <c r="ED354" t="s">
        <v>3730</v>
      </c>
      <c r="EE354" t="s">
        <v>3731</v>
      </c>
    </row>
    <row r="355" spans="127:135">
      <c r="DW355" s="338"/>
      <c r="ED355" t="s">
        <v>3732</v>
      </c>
      <c r="EE355" t="s">
        <v>3733</v>
      </c>
    </row>
    <row r="356" spans="127:135">
      <c r="DW356" s="338"/>
      <c r="ED356" t="s">
        <v>3734</v>
      </c>
      <c r="EE356" t="s">
        <v>3735</v>
      </c>
    </row>
    <row r="357" spans="127:135">
      <c r="DW357" s="338"/>
      <c r="ED357" t="s">
        <v>3736</v>
      </c>
      <c r="EE357" t="s">
        <v>3737</v>
      </c>
    </row>
    <row r="358" spans="127:135">
      <c r="DW358" s="338"/>
      <c r="ED358" t="s">
        <v>3738</v>
      </c>
      <c r="EE358" t="s">
        <v>3739</v>
      </c>
    </row>
    <row r="359" spans="127:135">
      <c r="DW359" s="168"/>
      <c r="ED359" t="s">
        <v>3740</v>
      </c>
      <c r="EE359" t="s">
        <v>3741</v>
      </c>
    </row>
    <row r="360" spans="127:135">
      <c r="DW360" s="338"/>
      <c r="ED360" t="s">
        <v>3742</v>
      </c>
      <c r="EE360" t="s">
        <v>3743</v>
      </c>
    </row>
    <row r="361" spans="127:135">
      <c r="DW361" s="338"/>
      <c r="ED361" t="s">
        <v>3744</v>
      </c>
      <c r="EE361" t="s">
        <v>3745</v>
      </c>
    </row>
    <row r="362" spans="127:135">
      <c r="DW362" s="338"/>
      <c r="ED362" t="s">
        <v>3746</v>
      </c>
      <c r="EE362" t="s">
        <v>3747</v>
      </c>
    </row>
    <row r="363" spans="127:135">
      <c r="DW363" s="338"/>
      <c r="ED363" t="s">
        <v>3748</v>
      </c>
      <c r="EE363" t="s">
        <v>3749</v>
      </c>
    </row>
    <row r="364" spans="127:135">
      <c r="ED364" t="s">
        <v>3750</v>
      </c>
      <c r="EE364" t="s">
        <v>3751</v>
      </c>
    </row>
    <row r="365" spans="127:135">
      <c r="ED365" t="s">
        <v>3752</v>
      </c>
      <c r="EE365" t="s">
        <v>3753</v>
      </c>
    </row>
    <row r="366" spans="127:135">
      <c r="ED366" t="s">
        <v>3754</v>
      </c>
      <c r="EE366" t="s">
        <v>3755</v>
      </c>
    </row>
    <row r="367" spans="127:135">
      <c r="ED367" t="s">
        <v>3756</v>
      </c>
      <c r="EE367" t="s">
        <v>3757</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3690</v>
      </c>
    </row>
    <row r="399" spans="134:135">
      <c r="ED399" t="s">
        <v>3819</v>
      </c>
      <c r="EE399" t="s">
        <v>3692</v>
      </c>
    </row>
    <row r="400" spans="134:135">
      <c r="ED400" t="s">
        <v>3820</v>
      </c>
      <c r="EE400" t="s">
        <v>3694</v>
      </c>
    </row>
    <row r="401" spans="128:135">
      <c r="ED401" t="s">
        <v>3821</v>
      </c>
      <c r="EE401" t="s">
        <v>3696</v>
      </c>
    </row>
    <row r="402" spans="128:135">
      <c r="ED402" t="s">
        <v>3822</v>
      </c>
      <c r="EE402" t="s">
        <v>3698</v>
      </c>
    </row>
    <row r="403" spans="128:135">
      <c r="ED403" t="s">
        <v>3823</v>
      </c>
      <c r="EE403" t="s">
        <v>3700</v>
      </c>
    </row>
    <row r="404" spans="128:135">
      <c r="ED404" t="s">
        <v>3824</v>
      </c>
      <c r="EE404" t="s">
        <v>3702</v>
      </c>
    </row>
    <row r="405" spans="128:135">
      <c r="ED405" t="s">
        <v>3825</v>
      </c>
      <c r="EE405" t="s">
        <v>3704</v>
      </c>
    </row>
    <row r="406" spans="128:135">
      <c r="ED406" t="s">
        <v>3826</v>
      </c>
      <c r="EE406" t="s">
        <v>3706</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6"/>
      <c r="ED414" t="s">
        <v>3834</v>
      </c>
      <c r="EE414" t="s">
        <v>3722</v>
      </c>
    </row>
    <row r="415" spans="128:135">
      <c r="DX415" s="286"/>
      <c r="ED415" t="s">
        <v>3835</v>
      </c>
      <c r="EE415" t="s">
        <v>3724</v>
      </c>
    </row>
    <row r="416" spans="128:135">
      <c r="DX416" s="286"/>
      <c r="ED416" t="s">
        <v>3836</v>
      </c>
      <c r="EE416" t="s">
        <v>3726</v>
      </c>
    </row>
    <row r="417" spans="128:135">
      <c r="DX417" s="286"/>
      <c r="ED417" t="s">
        <v>3837</v>
      </c>
      <c r="EE417" t="s">
        <v>3727</v>
      </c>
    </row>
    <row r="418" spans="128:135">
      <c r="DX418" s="286"/>
      <c r="ED418" t="s">
        <v>3688</v>
      </c>
      <c r="EE418" t="s">
        <v>3729</v>
      </c>
    </row>
    <row r="419" spans="128:135">
      <c r="ED419" t="s">
        <v>3838</v>
      </c>
      <c r="EE419" t="s">
        <v>3731</v>
      </c>
    </row>
    <row r="420" spans="128:135">
      <c r="ED420" t="s">
        <v>3839</v>
      </c>
      <c r="EE420" t="s">
        <v>3733</v>
      </c>
    </row>
    <row r="421" spans="128:135">
      <c r="ED421" t="s">
        <v>3840</v>
      </c>
      <c r="EE421" t="s">
        <v>3735</v>
      </c>
    </row>
    <row r="422" spans="128:135">
      <c r="ED422" t="s">
        <v>3841</v>
      </c>
      <c r="EE422" t="s">
        <v>3737</v>
      </c>
    </row>
    <row r="423" spans="128:135">
      <c r="ED423" t="s">
        <v>3842</v>
      </c>
      <c r="EE423" t="s">
        <v>3739</v>
      </c>
    </row>
    <row r="424" spans="128:135">
      <c r="ED424" t="s">
        <v>3843</v>
      </c>
      <c r="EE424" t="s">
        <v>3741</v>
      </c>
    </row>
    <row r="425" spans="128:135">
      <c r="ED425" t="s">
        <v>3844</v>
      </c>
      <c r="EE425" t="s">
        <v>3743</v>
      </c>
    </row>
    <row r="426" spans="128:135">
      <c r="ED426" t="s">
        <v>3845</v>
      </c>
      <c r="EE426" t="s">
        <v>3745</v>
      </c>
    </row>
    <row r="427" spans="128:135">
      <c r="ED427" t="s">
        <v>3846</v>
      </c>
      <c r="EE427" t="s">
        <v>3747</v>
      </c>
    </row>
    <row r="428" spans="128:135">
      <c r="ED428" t="s">
        <v>3847</v>
      </c>
      <c r="EE428" t="s">
        <v>3749</v>
      </c>
    </row>
    <row r="429" spans="128:135">
      <c r="ED429" t="s">
        <v>3848</v>
      </c>
      <c r="EE429" t="s">
        <v>3751</v>
      </c>
    </row>
    <row r="430" spans="128:135">
      <c r="ED430" t="s">
        <v>3849</v>
      </c>
      <c r="EE430" t="s">
        <v>3753</v>
      </c>
    </row>
    <row r="431" spans="128:135">
      <c r="ED431" t="s">
        <v>3850</v>
      </c>
      <c r="EE431" t="s">
        <v>3755</v>
      </c>
    </row>
    <row r="432" spans="128:135">
      <c r="ED432" t="s">
        <v>3851</v>
      </c>
      <c r="EE432" t="s">
        <v>3757</v>
      </c>
    </row>
    <row r="433" spans="134:135">
      <c r="ED433" t="s">
        <v>3852</v>
      </c>
      <c r="EE433" t="s">
        <v>3759</v>
      </c>
    </row>
    <row r="434" spans="134:135">
      <c r="ED434" t="s">
        <v>3853</v>
      </c>
      <c r="EE434" t="s">
        <v>3761</v>
      </c>
    </row>
    <row r="435" spans="134:135">
      <c r="ED435" t="s">
        <v>3854</v>
      </c>
      <c r="EE435" t="s">
        <v>3763</v>
      </c>
    </row>
    <row r="436" spans="134:135">
      <c r="ED436" t="s">
        <v>3855</v>
      </c>
      <c r="EE436" t="s">
        <v>3765</v>
      </c>
    </row>
    <row r="437" spans="134:135">
      <c r="ED437" t="s">
        <v>3856</v>
      </c>
      <c r="EE437" t="s">
        <v>3767</v>
      </c>
    </row>
    <row r="438" spans="134:135">
      <c r="ED438" t="s">
        <v>3857</v>
      </c>
      <c r="EE438" t="s">
        <v>3769</v>
      </c>
    </row>
    <row r="439" spans="134:135">
      <c r="ED439" t="s">
        <v>3858</v>
      </c>
      <c r="EE439" t="s">
        <v>3771</v>
      </c>
    </row>
    <row r="440" spans="134:135">
      <c r="ED440" t="s">
        <v>3859</v>
      </c>
      <c r="EE440" t="s">
        <v>3773</v>
      </c>
    </row>
    <row r="441" spans="134:135">
      <c r="ED441" t="s">
        <v>3860</v>
      </c>
      <c r="EE441" t="s">
        <v>3775</v>
      </c>
    </row>
    <row r="442" spans="134:135">
      <c r="ED442" t="s">
        <v>3861</v>
      </c>
      <c r="EE442" t="s">
        <v>3777</v>
      </c>
    </row>
    <row r="443" spans="134:135">
      <c r="ED443" t="s">
        <v>3862</v>
      </c>
      <c r="EE443" t="s">
        <v>3779</v>
      </c>
    </row>
    <row r="444" spans="134:135">
      <c r="ED444" t="s">
        <v>3863</v>
      </c>
      <c r="EE444" t="s">
        <v>3781</v>
      </c>
    </row>
    <row r="445" spans="134:135">
      <c r="ED445" t="s">
        <v>3864</v>
      </c>
      <c r="EE445" t="s">
        <v>3783</v>
      </c>
    </row>
    <row r="446" spans="134:135">
      <c r="ED446" t="s">
        <v>3865</v>
      </c>
      <c r="EE446" t="s">
        <v>3785</v>
      </c>
    </row>
    <row r="447" spans="134:135">
      <c r="ED447" t="s">
        <v>3866</v>
      </c>
      <c r="EE447" t="s">
        <v>3787</v>
      </c>
    </row>
    <row r="448" spans="134:135">
      <c r="ED448" t="s">
        <v>3867</v>
      </c>
      <c r="EE448" t="s">
        <v>3789</v>
      </c>
    </row>
    <row r="449" spans="134:135">
      <c r="ED449" t="s">
        <v>3868</v>
      </c>
      <c r="EE449" t="s">
        <v>3791</v>
      </c>
    </row>
    <row r="450" spans="134:135">
      <c r="ED450" t="s">
        <v>3869</v>
      </c>
      <c r="EE450" t="s">
        <v>3793</v>
      </c>
    </row>
    <row r="451" spans="134:135">
      <c r="ED451" t="s">
        <v>3870</v>
      </c>
      <c r="EE451" t="s">
        <v>3795</v>
      </c>
    </row>
    <row r="452" spans="134:135">
      <c r="ED452" t="s">
        <v>3871</v>
      </c>
      <c r="EE452" t="s">
        <v>3797</v>
      </c>
    </row>
    <row r="453" spans="134:135">
      <c r="ED453" t="s">
        <v>3872</v>
      </c>
      <c r="EE453" t="s">
        <v>3799</v>
      </c>
    </row>
    <row r="454" spans="134:135">
      <c r="ED454" t="s">
        <v>3873</v>
      </c>
      <c r="EE454" t="s">
        <v>3801</v>
      </c>
    </row>
    <row r="455" spans="134:135">
      <c r="ED455" t="s">
        <v>3874</v>
      </c>
      <c r="EE455" t="s">
        <v>3803</v>
      </c>
    </row>
    <row r="456" spans="134:135">
      <c r="ED456" t="s">
        <v>3875</v>
      </c>
      <c r="EE456" t="s">
        <v>3805</v>
      </c>
    </row>
    <row r="457" spans="134:135">
      <c r="ED457" t="s">
        <v>3876</v>
      </c>
      <c r="EE457" t="s">
        <v>3807</v>
      </c>
    </row>
    <row r="458" spans="134:135">
      <c r="ED458" t="s">
        <v>3877</v>
      </c>
      <c r="EE458" t="s">
        <v>3809</v>
      </c>
    </row>
    <row r="459" spans="134:135">
      <c r="ED459" t="s">
        <v>3878</v>
      </c>
      <c r="EE459" t="s">
        <v>3811</v>
      </c>
    </row>
    <row r="460" spans="134:135">
      <c r="ED460" t="s">
        <v>3879</v>
      </c>
      <c r="EE460" t="s">
        <v>3813</v>
      </c>
    </row>
    <row r="461" spans="134:135">
      <c r="ED461" t="s">
        <v>3880</v>
      </c>
      <c r="EE461" t="s">
        <v>3815</v>
      </c>
    </row>
    <row r="462" spans="134:135">
      <c r="ED462" t="s">
        <v>3881</v>
      </c>
      <c r="EE462" t="s">
        <v>3817</v>
      </c>
    </row>
    <row r="463" spans="134:135">
      <c r="ED463" t="s">
        <v>3690</v>
      </c>
      <c r="EE463" t="s">
        <v>3690</v>
      </c>
    </row>
    <row r="464" spans="134:135">
      <c r="ED464" t="s">
        <v>3692</v>
      </c>
      <c r="EE464" t="s">
        <v>3692</v>
      </c>
    </row>
    <row r="465" spans="134:135">
      <c r="ED465" t="s">
        <v>3694</v>
      </c>
      <c r="EE465" t="s">
        <v>3694</v>
      </c>
    </row>
    <row r="466" spans="134:135">
      <c r="ED466" t="s">
        <v>3696</v>
      </c>
      <c r="EE466" t="s">
        <v>3696</v>
      </c>
    </row>
    <row r="467" spans="134:135">
      <c r="ED467" t="s">
        <v>3698</v>
      </c>
      <c r="EE467" t="s">
        <v>3698</v>
      </c>
    </row>
    <row r="468" spans="134:135">
      <c r="ED468" t="s">
        <v>3700</v>
      </c>
      <c r="EE468" t="s">
        <v>3700</v>
      </c>
    </row>
    <row r="469" spans="134:135">
      <c r="ED469" t="s">
        <v>3702</v>
      </c>
      <c r="EE469" t="s">
        <v>3702</v>
      </c>
    </row>
    <row r="470" spans="134:135">
      <c r="ED470" t="s">
        <v>3704</v>
      </c>
      <c r="EE470" t="s">
        <v>3704</v>
      </c>
    </row>
    <row r="471" spans="134:135">
      <c r="ED471" t="s">
        <v>3706</v>
      </c>
      <c r="EE471" t="s">
        <v>3706</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3733</v>
      </c>
    </row>
    <row r="486" spans="134:135">
      <c r="ED486" t="s">
        <v>3735</v>
      </c>
      <c r="EE486" t="s">
        <v>3735</v>
      </c>
    </row>
    <row r="487" spans="134:135">
      <c r="ED487" t="s">
        <v>3737</v>
      </c>
      <c r="EE487" t="s">
        <v>3737</v>
      </c>
    </row>
    <row r="488" spans="134:135">
      <c r="ED488" t="s">
        <v>3739</v>
      </c>
      <c r="EE488" t="s">
        <v>3739</v>
      </c>
    </row>
    <row r="489" spans="134:135">
      <c r="ED489" t="s">
        <v>3741</v>
      </c>
      <c r="EE489" t="s">
        <v>3741</v>
      </c>
    </row>
    <row r="490" spans="134:135">
      <c r="ED490" t="s">
        <v>3743</v>
      </c>
      <c r="EE490" t="s">
        <v>3743</v>
      </c>
    </row>
    <row r="491" spans="134:135">
      <c r="ED491" t="s">
        <v>3745</v>
      </c>
      <c r="EE491" t="s">
        <v>3745</v>
      </c>
    </row>
    <row r="492" spans="134:135">
      <c r="ED492" t="s">
        <v>3747</v>
      </c>
      <c r="EE492" t="s">
        <v>3747</v>
      </c>
    </row>
    <row r="493" spans="134:135">
      <c r="ED493" t="s">
        <v>3749</v>
      </c>
      <c r="EE493" t="s">
        <v>3749</v>
      </c>
    </row>
    <row r="494" spans="134:135">
      <c r="ED494" t="s">
        <v>3751</v>
      </c>
      <c r="EE494" t="s">
        <v>3751</v>
      </c>
    </row>
    <row r="495" spans="134:135">
      <c r="ED495" t="s">
        <v>3753</v>
      </c>
      <c r="EE495" t="s">
        <v>3753</v>
      </c>
    </row>
    <row r="496" spans="134:135">
      <c r="ED496" t="s">
        <v>3755</v>
      </c>
      <c r="EE496" t="s">
        <v>3755</v>
      </c>
    </row>
    <row r="497" spans="124:135">
      <c r="DT497" s="351"/>
      <c r="ED497" t="s">
        <v>3757</v>
      </c>
      <c r="EE497" t="s">
        <v>3757</v>
      </c>
    </row>
    <row r="498" spans="124:135">
      <c r="DT498" s="351"/>
      <c r="ED498" t="s">
        <v>3759</v>
      </c>
      <c r="EE498" t="s">
        <v>3759</v>
      </c>
    </row>
    <row r="499" spans="124:135">
      <c r="DT499" s="351"/>
      <c r="ED499" t="s">
        <v>3761</v>
      </c>
      <c r="EE499" t="s">
        <v>3761</v>
      </c>
    </row>
    <row r="500" spans="124:135">
      <c r="DT500" s="351"/>
      <c r="ED500" t="s">
        <v>3763</v>
      </c>
      <c r="EE500" t="s">
        <v>3763</v>
      </c>
    </row>
    <row r="501" spans="124:135">
      <c r="DT501" s="351"/>
      <c r="ED501" t="s">
        <v>3765</v>
      </c>
      <c r="EE501" t="s">
        <v>3765</v>
      </c>
    </row>
    <row r="502" spans="124:135">
      <c r="DT502" s="351"/>
      <c r="ED502" t="s">
        <v>3767</v>
      </c>
      <c r="EE502" t="s">
        <v>3767</v>
      </c>
    </row>
    <row r="503" spans="124:135">
      <c r="DT503" s="351"/>
      <c r="ED503" t="s">
        <v>3769</v>
      </c>
      <c r="EE503" t="s">
        <v>3769</v>
      </c>
    </row>
    <row r="504" spans="124:135">
      <c r="DT504" s="351"/>
      <c r="ED504" t="s">
        <v>3771</v>
      </c>
      <c r="EE504" t="s">
        <v>3771</v>
      </c>
    </row>
    <row r="505" spans="124:135">
      <c r="DT505" s="286"/>
      <c r="ED505" t="s">
        <v>3773</v>
      </c>
      <c r="EE505" t="s">
        <v>3773</v>
      </c>
    </row>
    <row r="506" spans="124:135">
      <c r="DT506" s="352"/>
      <c r="ED506" t="s">
        <v>3775</v>
      </c>
      <c r="EE506" t="s">
        <v>3775</v>
      </c>
    </row>
    <row r="507" spans="124:135">
      <c r="DT507" s="352"/>
      <c r="ED507" t="s">
        <v>3777</v>
      </c>
      <c r="EE507" t="s">
        <v>3777</v>
      </c>
    </row>
    <row r="508" spans="124:135">
      <c r="DT508" s="352"/>
      <c r="ED508" t="s">
        <v>3779</v>
      </c>
      <c r="EE508" t="s">
        <v>3779</v>
      </c>
    </row>
    <row r="509" spans="124:135">
      <c r="DT509" s="352"/>
      <c r="ED509" t="s">
        <v>3781</v>
      </c>
      <c r="EE509" t="s">
        <v>3781</v>
      </c>
    </row>
    <row r="510" spans="124:135">
      <c r="DT510" s="352"/>
      <c r="ED510" t="s">
        <v>3783</v>
      </c>
      <c r="EE510" t="s">
        <v>3783</v>
      </c>
    </row>
    <row r="511" spans="124:135">
      <c r="DT511" s="352"/>
      <c r="ED511" t="s">
        <v>3785</v>
      </c>
      <c r="EE511" t="s">
        <v>3785</v>
      </c>
    </row>
    <row r="512" spans="124:135">
      <c r="DT512" s="352"/>
      <c r="ED512" t="s">
        <v>3787</v>
      </c>
      <c r="EE512" t="s">
        <v>3787</v>
      </c>
    </row>
    <row r="513" spans="124:135">
      <c r="DT513" s="352"/>
      <c r="ED513" t="s">
        <v>3789</v>
      </c>
      <c r="EE513" t="s">
        <v>3789</v>
      </c>
    </row>
    <row r="514" spans="124:135">
      <c r="DT514" s="352"/>
      <c r="ED514" t="s">
        <v>3791</v>
      </c>
      <c r="EE514" t="s">
        <v>3791</v>
      </c>
    </row>
    <row r="515" spans="124:135">
      <c r="DT515" s="352"/>
      <c r="ED515" t="s">
        <v>3793</v>
      </c>
      <c r="EE515" t="s">
        <v>3793</v>
      </c>
    </row>
    <row r="516" spans="124:135">
      <c r="DT516" s="352"/>
      <c r="ED516" t="s">
        <v>3795</v>
      </c>
      <c r="EE516" t="s">
        <v>3795</v>
      </c>
    </row>
    <row r="517" spans="124:135">
      <c r="DT517" s="352"/>
      <c r="ED517" t="s">
        <v>3797</v>
      </c>
      <c r="EE517" t="s">
        <v>3797</v>
      </c>
    </row>
    <row r="518" spans="124:135">
      <c r="DT518" s="352"/>
      <c r="ED518" t="s">
        <v>3799</v>
      </c>
      <c r="EE518" t="s">
        <v>3799</v>
      </c>
    </row>
    <row r="519" spans="124:135">
      <c r="DT519" s="351"/>
      <c r="DU519" s="351"/>
      <c r="ED519" t="s">
        <v>3801</v>
      </c>
      <c r="EE519" t="s">
        <v>3801</v>
      </c>
    </row>
    <row r="520" spans="124:135">
      <c r="DT520" s="351"/>
      <c r="DU520" s="351"/>
      <c r="ED520" t="s">
        <v>3803</v>
      </c>
      <c r="EE520" t="s">
        <v>3803</v>
      </c>
    </row>
    <row r="521" spans="124:135">
      <c r="DT521" s="351"/>
      <c r="DU521" s="351"/>
      <c r="ED521" t="s">
        <v>3805</v>
      </c>
      <c r="EE521" t="s">
        <v>3805</v>
      </c>
    </row>
    <row r="522" spans="124:135">
      <c r="DT522" s="352"/>
      <c r="DU522" s="352"/>
      <c r="ED522" t="s">
        <v>3807</v>
      </c>
      <c r="EE522" t="s">
        <v>3807</v>
      </c>
    </row>
    <row r="523" spans="124:135">
      <c r="DT523" s="352"/>
      <c r="DU523" s="352"/>
      <c r="ED523" t="s">
        <v>3809</v>
      </c>
      <c r="EE523" t="s">
        <v>3809</v>
      </c>
    </row>
    <row r="524" spans="124:135">
      <c r="DT524" s="352"/>
      <c r="DU524" s="352"/>
      <c r="ED524" t="s">
        <v>3811</v>
      </c>
      <c r="EE524" t="s">
        <v>3811</v>
      </c>
    </row>
    <row r="525" spans="124:135">
      <c r="DT525" s="352"/>
      <c r="DU525" s="352"/>
      <c r="ED525" t="s">
        <v>3813</v>
      </c>
      <c r="EE525" t="s">
        <v>3813</v>
      </c>
    </row>
    <row r="526" spans="124:135">
      <c r="DT526" s="352"/>
      <c r="DU526" s="352"/>
      <c r="ED526" t="s">
        <v>3815</v>
      </c>
      <c r="EE526" t="s">
        <v>3815</v>
      </c>
    </row>
    <row r="527" spans="124:135">
      <c r="DT527" s="352"/>
      <c r="DU527" s="352"/>
      <c r="ED527" t="s">
        <v>3817</v>
      </c>
      <c r="EE527" t="s">
        <v>3817</v>
      </c>
    </row>
    <row r="528" spans="124:135">
      <c r="DT528" s="352"/>
      <c r="DU528" s="352"/>
      <c r="ED528" t="s">
        <v>3882</v>
      </c>
      <c r="EE528" t="s">
        <v>3690</v>
      </c>
    </row>
    <row r="529" spans="124:135">
      <c r="DT529" s="352"/>
      <c r="DU529" s="352"/>
      <c r="ED529" t="s">
        <v>3883</v>
      </c>
      <c r="EE529" t="s">
        <v>3692</v>
      </c>
    </row>
    <row r="530" spans="124:135">
      <c r="DT530" s="352"/>
      <c r="DU530" s="352"/>
      <c r="ED530" t="s">
        <v>3884</v>
      </c>
      <c r="EE530" t="s">
        <v>3694</v>
      </c>
    </row>
    <row r="531" spans="124:135">
      <c r="DT531" s="353"/>
      <c r="DU531" s="353"/>
      <c r="ED531" t="s">
        <v>3885</v>
      </c>
      <c r="EE531" t="s">
        <v>3696</v>
      </c>
    </row>
    <row r="532" spans="124:135">
      <c r="DT532" s="351"/>
      <c r="DU532" s="351"/>
      <c r="ED532" t="s">
        <v>3886</v>
      </c>
      <c r="EE532" t="s">
        <v>3698</v>
      </c>
    </row>
    <row r="533" spans="124:135">
      <c r="DT533" s="351"/>
      <c r="DU533" s="351"/>
      <c r="ED533" t="s">
        <v>3887</v>
      </c>
      <c r="EE533" t="s">
        <v>3700</v>
      </c>
    </row>
    <row r="534" spans="124:135">
      <c r="DT534" s="351"/>
      <c r="ED534" t="s">
        <v>3888</v>
      </c>
      <c r="EE534" t="s">
        <v>3702</v>
      </c>
    </row>
    <row r="535" spans="124:135">
      <c r="DT535" s="351"/>
      <c r="ED535" t="s">
        <v>3889</v>
      </c>
      <c r="EE535" t="s">
        <v>3704</v>
      </c>
    </row>
    <row r="536" spans="124:135">
      <c r="DT536" s="286"/>
      <c r="ED536" t="s">
        <v>3890</v>
      </c>
      <c r="EE536" t="s">
        <v>3706</v>
      </c>
    </row>
    <row r="537" spans="124:135">
      <c r="DT537" s="351"/>
      <c r="DU537" s="351"/>
      <c r="ED537" t="s">
        <v>3891</v>
      </c>
      <c r="EE537" t="s">
        <v>3708</v>
      </c>
    </row>
    <row r="538" spans="124:135">
      <c r="DT538" s="351"/>
      <c r="DU538" s="351"/>
      <c r="ED538" t="s">
        <v>3892</v>
      </c>
      <c r="EE538" t="s">
        <v>3710</v>
      </c>
    </row>
    <row r="539" spans="124:135">
      <c r="DT539" s="351"/>
      <c r="DU539" s="351"/>
      <c r="ED539" t="s">
        <v>3893</v>
      </c>
      <c r="EE539" t="s">
        <v>3712</v>
      </c>
    </row>
    <row r="540" spans="124:135">
      <c r="DT540" s="351"/>
      <c r="DU540" s="351"/>
      <c r="ED540" t="s">
        <v>3894</v>
      </c>
      <c r="EE540" t="s">
        <v>3714</v>
      </c>
    </row>
    <row r="541" spans="124:135">
      <c r="DT541" s="351"/>
      <c r="DU541" s="351"/>
      <c r="ED541" t="s">
        <v>3895</v>
      </c>
      <c r="EE541" t="s">
        <v>3716</v>
      </c>
    </row>
    <row r="542" spans="124:135">
      <c r="DT542" s="352"/>
      <c r="DU542" s="352"/>
      <c r="ED542" t="s">
        <v>3896</v>
      </c>
      <c r="EE542" t="s">
        <v>3718</v>
      </c>
    </row>
    <row r="543" spans="124:135">
      <c r="DT543" s="286"/>
      <c r="DU543" s="286"/>
      <c r="ED543" t="s">
        <v>3897</v>
      </c>
      <c r="EE543" t="s">
        <v>3720</v>
      </c>
    </row>
    <row r="544" spans="124:135">
      <c r="DT544" s="351"/>
      <c r="DU544" s="351"/>
      <c r="ED544" t="s">
        <v>3898</v>
      </c>
      <c r="EE544" t="s">
        <v>3722</v>
      </c>
    </row>
    <row r="545" spans="124:135">
      <c r="DT545" s="351"/>
      <c r="DU545" s="351"/>
      <c r="ED545" t="s">
        <v>3899</v>
      </c>
      <c r="EE545" t="s">
        <v>3724</v>
      </c>
    </row>
    <row r="546" spans="124:135">
      <c r="DT546" s="352"/>
      <c r="DU546" s="352"/>
      <c r="ED546" t="s">
        <v>3900</v>
      </c>
      <c r="EE546" t="s">
        <v>3726</v>
      </c>
    </row>
    <row r="547" spans="124:135">
      <c r="DT547" s="352"/>
      <c r="DU547" s="352"/>
      <c r="ED547" t="s">
        <v>3901</v>
      </c>
      <c r="EE547" t="s">
        <v>3727</v>
      </c>
    </row>
    <row r="548" spans="124:135">
      <c r="DT548" s="286"/>
      <c r="DU548" s="286"/>
      <c r="ED548" t="s">
        <v>3902</v>
      </c>
      <c r="EE548" t="s">
        <v>3729</v>
      </c>
    </row>
    <row r="549" spans="124:135">
      <c r="DT549" s="286"/>
      <c r="DU549" s="286"/>
      <c r="ED549" t="s">
        <v>3903</v>
      </c>
      <c r="EE549" t="s">
        <v>3731</v>
      </c>
    </row>
    <row r="550" spans="124:135">
      <c r="DT550" s="351"/>
      <c r="DU550" s="351"/>
      <c r="ED550" t="s">
        <v>3904</v>
      </c>
      <c r="EE550" t="s">
        <v>3733</v>
      </c>
    </row>
    <row r="551" spans="124:135">
      <c r="DT551" s="351"/>
      <c r="DU551" s="351"/>
      <c r="ED551" t="s">
        <v>3905</v>
      </c>
      <c r="EE551" t="s">
        <v>3735</v>
      </c>
    </row>
    <row r="552" spans="124:135">
      <c r="DT552" s="352"/>
      <c r="DU552" s="351"/>
      <c r="ED552" t="s">
        <v>3906</v>
      </c>
      <c r="EE552" t="s">
        <v>3737</v>
      </c>
    </row>
    <row r="553" spans="124:135">
      <c r="DT553" s="352"/>
      <c r="DU553" s="351"/>
      <c r="ED553" t="s">
        <v>3907</v>
      </c>
      <c r="EE553" t="s">
        <v>3739</v>
      </c>
    </row>
    <row r="554" spans="124:135">
      <c r="DT554" s="286"/>
      <c r="DU554" s="351"/>
      <c r="ED554" t="s">
        <v>3908</v>
      </c>
      <c r="EE554" t="s">
        <v>3741</v>
      </c>
    </row>
    <row r="555" spans="124:135">
      <c r="DT555" s="286"/>
      <c r="DU555" s="351"/>
      <c r="ED555" t="s">
        <v>3909</v>
      </c>
      <c r="EE555" t="s">
        <v>3743</v>
      </c>
    </row>
    <row r="556" spans="124:135">
      <c r="DT556" s="353"/>
      <c r="ED556" t="s">
        <v>3910</v>
      </c>
      <c r="EE556" t="s">
        <v>3745</v>
      </c>
    </row>
    <row r="557" spans="124:135">
      <c r="DT557" s="353"/>
      <c r="ED557" t="s">
        <v>3911</v>
      </c>
      <c r="EE557" t="s">
        <v>3747</v>
      </c>
    </row>
    <row r="558" spans="124:135">
      <c r="DT558" s="353"/>
      <c r="ED558" t="s">
        <v>3912</v>
      </c>
      <c r="EE558" t="s">
        <v>3749</v>
      </c>
    </row>
    <row r="559" spans="124:135">
      <c r="DT559" s="351"/>
      <c r="ED559" t="s">
        <v>3913</v>
      </c>
      <c r="EE559" t="s">
        <v>3751</v>
      </c>
    </row>
    <row r="560" spans="124:135">
      <c r="DT560" s="286"/>
      <c r="ED560" t="s">
        <v>3914</v>
      </c>
      <c r="EE560" t="s">
        <v>3753</v>
      </c>
    </row>
    <row r="561" spans="124:135">
      <c r="DT561" s="351"/>
      <c r="ED561" t="s">
        <v>3915</v>
      </c>
      <c r="EE561" t="s">
        <v>3755</v>
      </c>
    </row>
    <row r="562" spans="124:135">
      <c r="DT562" s="286"/>
      <c r="ED562" t="s">
        <v>3916</v>
      </c>
      <c r="EE562" t="s">
        <v>3757</v>
      </c>
    </row>
    <row r="563" spans="124:135">
      <c r="DT563" s="352"/>
      <c r="DU563" s="351"/>
      <c r="ED563" t="s">
        <v>3917</v>
      </c>
      <c r="EE563" t="s">
        <v>3759</v>
      </c>
    </row>
    <row r="564" spans="124:135">
      <c r="DT564" s="352"/>
      <c r="DU564" s="351"/>
      <c r="ED564" t="s">
        <v>3918</v>
      </c>
      <c r="EE564" t="s">
        <v>3761</v>
      </c>
    </row>
    <row r="565" spans="124:135">
      <c r="DT565" s="286"/>
      <c r="DU565" s="351"/>
      <c r="ED565" t="s">
        <v>3919</v>
      </c>
      <c r="EE565" t="s">
        <v>3763</v>
      </c>
    </row>
    <row r="566" spans="124:135">
      <c r="DT566" s="286"/>
      <c r="DU566" s="351"/>
      <c r="ED566" t="s">
        <v>3920</v>
      </c>
      <c r="EE566" t="s">
        <v>3765</v>
      </c>
    </row>
    <row r="567" spans="124:135">
      <c r="DT567" s="352"/>
      <c r="DU567" s="351"/>
      <c r="ED567" t="s">
        <v>3921</v>
      </c>
      <c r="EE567" t="s">
        <v>3767</v>
      </c>
    </row>
    <row r="568" spans="124:135">
      <c r="DT568" s="352"/>
      <c r="DU568" s="351"/>
      <c r="ED568" t="s">
        <v>3922</v>
      </c>
      <c r="EE568" t="s">
        <v>3769</v>
      </c>
    </row>
    <row r="569" spans="124:135">
      <c r="DT569" s="286"/>
      <c r="DU569" s="351"/>
      <c r="ED569" t="s">
        <v>3923</v>
      </c>
      <c r="EE569" t="s">
        <v>3771</v>
      </c>
    </row>
    <row r="570" spans="124:135">
      <c r="DT570" s="286"/>
      <c r="DU570" s="351"/>
      <c r="ED570" t="s">
        <v>3924</v>
      </c>
      <c r="EE570" t="s">
        <v>3773</v>
      </c>
    </row>
    <row r="571" spans="124:135">
      <c r="DT571" s="352"/>
      <c r="ED571" t="s">
        <v>3925</v>
      </c>
      <c r="EE571" t="s">
        <v>3775</v>
      </c>
    </row>
    <row r="572" spans="124:135">
      <c r="DT572" s="351"/>
      <c r="ED572" t="s">
        <v>3926</v>
      </c>
      <c r="EE572" t="s">
        <v>3777</v>
      </c>
    </row>
    <row r="573" spans="124:135">
      <c r="DT573" s="351"/>
      <c r="ED573" t="s">
        <v>3927</v>
      </c>
      <c r="EE573" t="s">
        <v>3779</v>
      </c>
    </row>
    <row r="574" spans="124:135">
      <c r="DT574" s="351"/>
      <c r="ED574" t="s">
        <v>3928</v>
      </c>
      <c r="EE574" t="s">
        <v>3781</v>
      </c>
    </row>
    <row r="575" spans="124:135">
      <c r="DT575" s="286"/>
      <c r="ED575" t="s">
        <v>3929</v>
      </c>
      <c r="EE575" t="s">
        <v>3783</v>
      </c>
    </row>
    <row r="576" spans="124:135">
      <c r="DT576" s="352"/>
      <c r="ED576" t="s">
        <v>3930</v>
      </c>
      <c r="EE576" t="s">
        <v>3785</v>
      </c>
    </row>
    <row r="577" spans="124:135">
      <c r="DT577" s="351"/>
      <c r="ED577" t="s">
        <v>3931</v>
      </c>
      <c r="EE577" t="s">
        <v>3787</v>
      </c>
    </row>
    <row r="578" spans="124:135">
      <c r="DT578" s="351"/>
      <c r="ED578" t="s">
        <v>3932</v>
      </c>
      <c r="EE578" t="s">
        <v>3789</v>
      </c>
    </row>
    <row r="579" spans="124:135">
      <c r="DT579" s="351"/>
      <c r="ED579" t="s">
        <v>3933</v>
      </c>
      <c r="EE579" t="s">
        <v>3791</v>
      </c>
    </row>
    <row r="580" spans="124:135">
      <c r="DT580" s="286"/>
      <c r="ED580" t="s">
        <v>3934</v>
      </c>
      <c r="EE580" t="s">
        <v>3793</v>
      </c>
    </row>
    <row r="581" spans="124:135">
      <c r="DT581" s="352"/>
      <c r="ED581" t="s">
        <v>3935</v>
      </c>
      <c r="EE581" t="s">
        <v>3795</v>
      </c>
    </row>
    <row r="582" spans="124:135">
      <c r="DT582" s="351"/>
      <c r="ED582" t="s">
        <v>3936</v>
      </c>
      <c r="EE582" t="s">
        <v>3797</v>
      </c>
    </row>
    <row r="583" spans="124:135">
      <c r="DT583" s="351"/>
      <c r="ED583" t="s">
        <v>3937</v>
      </c>
      <c r="EE583" t="s">
        <v>3799</v>
      </c>
    </row>
    <row r="584" spans="124:135">
      <c r="DT584" s="351"/>
      <c r="ED584" t="s">
        <v>3938</v>
      </c>
      <c r="EE584" t="s">
        <v>3801</v>
      </c>
    </row>
    <row r="585" spans="124:135">
      <c r="DT585" s="286"/>
      <c r="ED585" t="s">
        <v>3939</v>
      </c>
      <c r="EE585" t="s">
        <v>3803</v>
      </c>
    </row>
    <row r="586" spans="124:135">
      <c r="DT586" s="352"/>
      <c r="ED586" t="s">
        <v>3940</v>
      </c>
      <c r="EE586" t="s">
        <v>3805</v>
      </c>
    </row>
    <row r="587" spans="124:135">
      <c r="DT587" s="351"/>
      <c r="ED587" t="s">
        <v>3941</v>
      </c>
      <c r="EE587" t="s">
        <v>3807</v>
      </c>
    </row>
    <row r="588" spans="124:135">
      <c r="DT588" s="351"/>
      <c r="ED588" t="s">
        <v>3942</v>
      </c>
      <c r="EE588" t="s">
        <v>3809</v>
      </c>
    </row>
    <row r="589" spans="124:135">
      <c r="DT589" s="351"/>
      <c r="ED589" t="s">
        <v>3943</v>
      </c>
      <c r="EE589" t="s">
        <v>3811</v>
      </c>
    </row>
    <row r="590" spans="124:135">
      <c r="DT590" s="286"/>
      <c r="ED590" t="s">
        <v>3944</v>
      </c>
      <c r="EE590" t="s">
        <v>3813</v>
      </c>
    </row>
    <row r="591" spans="124:135">
      <c r="DT591" s="352"/>
      <c r="ED591" t="s">
        <v>3945</v>
      </c>
      <c r="EE591" t="s">
        <v>3815</v>
      </c>
    </row>
    <row r="592" spans="124:135">
      <c r="DT592" s="352"/>
      <c r="ED592" t="s">
        <v>3946</v>
      </c>
      <c r="EE592" t="s">
        <v>3817</v>
      </c>
    </row>
    <row r="593" spans="124:135">
      <c r="DT593" s="352"/>
      <c r="DV593" s="351"/>
      <c r="DW593" s="352"/>
      <c r="DX593" s="286"/>
      <c r="ED593" t="s">
        <v>3947</v>
      </c>
      <c r="EE593" t="s">
        <v>3690</v>
      </c>
    </row>
    <row r="594" spans="124:135">
      <c r="DT594" s="352"/>
      <c r="DV594" s="351"/>
      <c r="DW594" s="352"/>
      <c r="DX594" s="286"/>
      <c r="ED594" t="s">
        <v>3948</v>
      </c>
      <c r="EE594" t="s">
        <v>3692</v>
      </c>
    </row>
    <row r="595" spans="124:135">
      <c r="DT595" s="351"/>
      <c r="ED595" t="s">
        <v>3949</v>
      </c>
      <c r="EE595" t="s">
        <v>3694</v>
      </c>
    </row>
    <row r="596" spans="124:135">
      <c r="DT596" s="351"/>
      <c r="ED596" t="s">
        <v>3950</v>
      </c>
      <c r="EE596" t="s">
        <v>3696</v>
      </c>
    </row>
    <row r="597" spans="124:135">
      <c r="DT597" s="352"/>
      <c r="ED597" t="s">
        <v>3951</v>
      </c>
      <c r="EE597" t="s">
        <v>3698</v>
      </c>
    </row>
    <row r="598" spans="124:135">
      <c r="DT598" s="352"/>
      <c r="ED598" t="s">
        <v>3952</v>
      </c>
      <c r="EE598" t="s">
        <v>3700</v>
      </c>
    </row>
    <row r="599" spans="124:135">
      <c r="DT599" s="286"/>
      <c r="ED599" t="s">
        <v>3953</v>
      </c>
      <c r="EE599" t="s">
        <v>3702</v>
      </c>
    </row>
    <row r="600" spans="124:135">
      <c r="DT600" s="286"/>
      <c r="ED600" t="s">
        <v>3954</v>
      </c>
      <c r="EE600" t="s">
        <v>3704</v>
      </c>
    </row>
    <row r="601" spans="124:135">
      <c r="DT601" s="352"/>
      <c r="ED601" t="s">
        <v>3955</v>
      </c>
      <c r="EE601" t="s">
        <v>3706</v>
      </c>
    </row>
    <row r="602" spans="124:135">
      <c r="DT602" s="352"/>
      <c r="ED602" t="s">
        <v>3956</v>
      </c>
      <c r="EE602" t="s">
        <v>3708</v>
      </c>
    </row>
    <row r="603" spans="124:135">
      <c r="DT603" s="352"/>
      <c r="ED603" t="s">
        <v>3957</v>
      </c>
      <c r="EE603" t="s">
        <v>3710</v>
      </c>
    </row>
    <row r="604" spans="124:135">
      <c r="DT604" s="352"/>
      <c r="ED604" t="s">
        <v>3958</v>
      </c>
      <c r="EE604" t="s">
        <v>3712</v>
      </c>
    </row>
    <row r="605" spans="124:135">
      <c r="DT605" s="351"/>
      <c r="ED605" t="s">
        <v>3959</v>
      </c>
      <c r="EE605" t="s">
        <v>3714</v>
      </c>
    </row>
    <row r="606" spans="124:135">
      <c r="DT606" s="351"/>
      <c r="ED606" t="s">
        <v>3960</v>
      </c>
      <c r="EE606" t="s">
        <v>3716</v>
      </c>
    </row>
    <row r="607" spans="124:135">
      <c r="DT607" s="352"/>
      <c r="ED607" t="s">
        <v>3961</v>
      </c>
      <c r="EE607" t="s">
        <v>3718</v>
      </c>
    </row>
    <row r="608" spans="124:135">
      <c r="DT608" s="352"/>
      <c r="ED608" t="s">
        <v>3962</v>
      </c>
      <c r="EE608" t="s">
        <v>3720</v>
      </c>
    </row>
    <row r="609" spans="124:135">
      <c r="DT609" s="286"/>
      <c r="ED609" t="s">
        <v>3963</v>
      </c>
      <c r="EE609" t="s">
        <v>3722</v>
      </c>
    </row>
    <row r="610" spans="124:135">
      <c r="DT610" s="286"/>
      <c r="ED610" t="s">
        <v>3964</v>
      </c>
      <c r="EE610" t="s">
        <v>3724</v>
      </c>
    </row>
    <row r="611" spans="124:135">
      <c r="DT611" s="351"/>
      <c r="ED611" t="s">
        <v>3965</v>
      </c>
      <c r="EE611" t="s">
        <v>3726</v>
      </c>
    </row>
    <row r="612" spans="124:135">
      <c r="DT612" s="351"/>
      <c r="ED612" t="s">
        <v>3966</v>
      </c>
      <c r="EE612" t="s">
        <v>3727</v>
      </c>
    </row>
    <row r="613" spans="124:135">
      <c r="DT613" s="351"/>
      <c r="ED613" t="s">
        <v>3967</v>
      </c>
      <c r="EE613" t="s">
        <v>3729</v>
      </c>
    </row>
    <row r="614" spans="124:135">
      <c r="DT614" s="351"/>
      <c r="ED614" t="s">
        <v>3968</v>
      </c>
      <c r="EE614" t="s">
        <v>3731</v>
      </c>
    </row>
    <row r="615" spans="124:135">
      <c r="DT615" s="286"/>
      <c r="ED615" t="s">
        <v>3969</v>
      </c>
      <c r="EE615" t="s">
        <v>3733</v>
      </c>
    </row>
    <row r="616" spans="124:135">
      <c r="DT616" s="351"/>
      <c r="ED616" t="s">
        <v>3970</v>
      </c>
      <c r="EE616" t="s">
        <v>3735</v>
      </c>
    </row>
    <row r="617" spans="124:135">
      <c r="DT617" s="351"/>
      <c r="ED617" t="s">
        <v>3971</v>
      </c>
      <c r="EE617" t="s">
        <v>3737</v>
      </c>
    </row>
    <row r="618" spans="124:135">
      <c r="DT618" s="351"/>
      <c r="ED618" t="s">
        <v>3972</v>
      </c>
      <c r="EE618" t="s">
        <v>3739</v>
      </c>
    </row>
    <row r="619" spans="124:135">
      <c r="DT619" s="351"/>
      <c r="ED619" t="s">
        <v>3973</v>
      </c>
      <c r="EE619" t="s">
        <v>3741</v>
      </c>
    </row>
    <row r="620" spans="124:135">
      <c r="DT620" s="286"/>
      <c r="ED620" t="s">
        <v>3974</v>
      </c>
      <c r="EE620" t="s">
        <v>3743</v>
      </c>
    </row>
    <row r="621" spans="124:135">
      <c r="DT621" s="337"/>
      <c r="ED621" t="s">
        <v>3975</v>
      </c>
      <c r="EE621" t="s">
        <v>3745</v>
      </c>
    </row>
    <row r="622" spans="124:135">
      <c r="DT622" s="337"/>
      <c r="ED622" t="s">
        <v>3976</v>
      </c>
      <c r="EE622" t="s">
        <v>3747</v>
      </c>
    </row>
    <row r="623" spans="124:135">
      <c r="DT623" s="351"/>
      <c r="ED623" t="s">
        <v>3977</v>
      </c>
      <c r="EE623" t="s">
        <v>3749</v>
      </c>
    </row>
    <row r="624" spans="124:135">
      <c r="DT624" s="351"/>
      <c r="ED624" t="s">
        <v>3978</v>
      </c>
      <c r="EE624" t="s">
        <v>3751</v>
      </c>
    </row>
    <row r="625" spans="124:135">
      <c r="DT625" s="334"/>
      <c r="ED625" t="s">
        <v>3979</v>
      </c>
      <c r="EE625" t="s">
        <v>3753</v>
      </c>
    </row>
    <row r="626" spans="124:135">
      <c r="DT626" s="286"/>
      <c r="ED626" t="s">
        <v>3980</v>
      </c>
      <c r="EE626" t="s">
        <v>3755</v>
      </c>
    </row>
    <row r="627" spans="124:135">
      <c r="DT627" s="286"/>
      <c r="ED627" t="s">
        <v>3981</v>
      </c>
      <c r="EE627" t="s">
        <v>3757</v>
      </c>
    </row>
    <row r="628" spans="124:135">
      <c r="DT628" s="286"/>
      <c r="ED628" t="s">
        <v>3982</v>
      </c>
      <c r="EE628" t="s">
        <v>3759</v>
      </c>
    </row>
    <row r="629" spans="124:135">
      <c r="DT629" s="334"/>
      <c r="ED629" t="s">
        <v>3983</v>
      </c>
      <c r="EE629" t="s">
        <v>3761</v>
      </c>
    </row>
    <row r="630" spans="124:135">
      <c r="DT630" s="286"/>
      <c r="ED630" t="s">
        <v>3984</v>
      </c>
      <c r="EE630" t="s">
        <v>3763</v>
      </c>
    </row>
    <row r="631" spans="124:135">
      <c r="DT631" s="351"/>
      <c r="ED631" t="s">
        <v>3985</v>
      </c>
      <c r="EE631" t="s">
        <v>3765</v>
      </c>
    </row>
    <row r="632" spans="124:135">
      <c r="DT632" s="351"/>
      <c r="ED632" t="s">
        <v>3986</v>
      </c>
      <c r="EE632" t="s">
        <v>3767</v>
      </c>
    </row>
    <row r="633" spans="124:135">
      <c r="DT633" s="334"/>
      <c r="ED633" t="s">
        <v>3987</v>
      </c>
      <c r="EE633" t="s">
        <v>3769</v>
      </c>
    </row>
    <row r="634" spans="124:135">
      <c r="DT634" s="351"/>
      <c r="ED634" t="s">
        <v>3988</v>
      </c>
      <c r="EE634" t="s">
        <v>3771</v>
      </c>
    </row>
    <row r="635" spans="124:135">
      <c r="DT635" s="286"/>
      <c r="ED635" t="s">
        <v>3989</v>
      </c>
      <c r="EE635" t="s">
        <v>3773</v>
      </c>
    </row>
    <row r="636" spans="124:135">
      <c r="DT636" s="334"/>
      <c r="DU636" s="286"/>
      <c r="ED636" t="s">
        <v>3990</v>
      </c>
      <c r="EE636" t="s">
        <v>3775</v>
      </c>
    </row>
    <row r="637" spans="124:135">
      <c r="DT637" s="334"/>
      <c r="DU637" s="286"/>
      <c r="ED637" t="s">
        <v>3991</v>
      </c>
      <c r="EE637" t="s">
        <v>3777</v>
      </c>
    </row>
    <row r="638" spans="124:135">
      <c r="DT638" s="334"/>
      <c r="DU638" s="286"/>
      <c r="ED638" t="s">
        <v>3992</v>
      </c>
      <c r="EE638" t="s">
        <v>3779</v>
      </c>
    </row>
    <row r="639" spans="124:135">
      <c r="DT639" s="286"/>
      <c r="DU639" s="286"/>
      <c r="ED639" t="s">
        <v>3993</v>
      </c>
      <c r="EE639" t="s">
        <v>3781</v>
      </c>
    </row>
    <row r="640" spans="124:135">
      <c r="DT640" s="362"/>
      <c r="DU640" s="362"/>
      <c r="ED640" t="s">
        <v>3994</v>
      </c>
      <c r="EE640" t="s">
        <v>3783</v>
      </c>
    </row>
    <row r="641" spans="124:135">
      <c r="DT641" s="330"/>
      <c r="DU641" s="362"/>
      <c r="ED641" t="s">
        <v>3995</v>
      </c>
      <c r="EE641" t="s">
        <v>3785</v>
      </c>
    </row>
    <row r="642" spans="124:135">
      <c r="DT642" s="338"/>
      <c r="DU642" s="338"/>
      <c r="DX642" s="365"/>
      <c r="ED642" t="s">
        <v>3996</v>
      </c>
      <c r="EE642" t="s">
        <v>3787</v>
      </c>
    </row>
    <row r="643" spans="124:135">
      <c r="DT643" s="338"/>
      <c r="DU643" s="338"/>
      <c r="DX643" s="338"/>
      <c r="ED643" t="s">
        <v>3997</v>
      </c>
      <c r="EE643" t="s">
        <v>3789</v>
      </c>
    </row>
    <row r="644" spans="124:135">
      <c r="DT644" s="338"/>
      <c r="DU644" s="338"/>
      <c r="DX644" s="374"/>
      <c r="ED644" t="s">
        <v>3998</v>
      </c>
      <c r="EE644" t="s">
        <v>3791</v>
      </c>
    </row>
    <row r="645" spans="124:135">
      <c r="DT645" s="338"/>
      <c r="DU645" s="338"/>
      <c r="DX645" s="338"/>
      <c r="ED645" t="s">
        <v>3999</v>
      </c>
      <c r="EE645" t="s">
        <v>3793</v>
      </c>
    </row>
    <row r="646" spans="124:135">
      <c r="DT646" s="338"/>
      <c r="DU646" s="338"/>
      <c r="ED646" t="s">
        <v>4000</v>
      </c>
      <c r="EE646" t="s">
        <v>3795</v>
      </c>
    </row>
    <row r="647" spans="124:135">
      <c r="DT647" s="338"/>
      <c r="DU647" s="338"/>
      <c r="ED647" t="s">
        <v>4001</v>
      </c>
      <c r="EE647" t="s">
        <v>3797</v>
      </c>
    </row>
    <row r="648" spans="124:135">
      <c r="DT648" s="338"/>
      <c r="DU648" s="338"/>
      <c r="ED648" t="s">
        <v>4002</v>
      </c>
      <c r="EE648" t="s">
        <v>3799</v>
      </c>
    </row>
    <row r="649" spans="124:135">
      <c r="DT649" s="338"/>
      <c r="DU649" s="338"/>
      <c r="ED649" t="s">
        <v>4003</v>
      </c>
      <c r="EE649" t="s">
        <v>3801</v>
      </c>
    </row>
    <row r="650" spans="124:135">
      <c r="DT650" s="338"/>
      <c r="DU650" s="338"/>
      <c r="ED650" t="s">
        <v>4004</v>
      </c>
      <c r="EE650" t="s">
        <v>3803</v>
      </c>
    </row>
    <row r="651" spans="124:135">
      <c r="DT651" s="338"/>
      <c r="DU651" s="338"/>
      <c r="ED651" t="s">
        <v>4005</v>
      </c>
      <c r="EE651" t="s">
        <v>3805</v>
      </c>
    </row>
    <row r="652" spans="124:135">
      <c r="DT652" s="338"/>
      <c r="DU652" s="338"/>
      <c r="ED652" t="s">
        <v>4006</v>
      </c>
      <c r="EE652" t="s">
        <v>3807</v>
      </c>
    </row>
    <row r="653" spans="124:135">
      <c r="DT653" s="338"/>
      <c r="DU653" s="338"/>
      <c r="ED653" t="s">
        <v>4007</v>
      </c>
      <c r="EE653" t="s">
        <v>3809</v>
      </c>
    </row>
    <row r="654" spans="124:135">
      <c r="DT654" s="338"/>
      <c r="DU654" s="338"/>
      <c r="ED654" t="s">
        <v>4008</v>
      </c>
      <c r="EE654" t="s">
        <v>3811</v>
      </c>
    </row>
    <row r="655" spans="124:135">
      <c r="DT655" s="338"/>
      <c r="DU655" s="338"/>
      <c r="ED655" t="s">
        <v>4009</v>
      </c>
      <c r="EE655" t="s">
        <v>3813</v>
      </c>
    </row>
    <row r="656" spans="124:135">
      <c r="DT656" s="338"/>
      <c r="DU656" s="338"/>
      <c r="ED656" t="s">
        <v>4010</v>
      </c>
      <c r="EE656" t="s">
        <v>3815</v>
      </c>
    </row>
    <row r="657" spans="124:135">
      <c r="DT657" s="338"/>
      <c r="DU657" s="338"/>
      <c r="ED657" t="s">
        <v>4011</v>
      </c>
      <c r="EE657" t="s">
        <v>3817</v>
      </c>
    </row>
    <row r="658" spans="124:135">
      <c r="DT658" s="338"/>
      <c r="DU658" s="365"/>
    </row>
    <row r="659" spans="124:135">
      <c r="DT659" s="338"/>
      <c r="DU659" s="365"/>
    </row>
    <row r="660" spans="124:135">
      <c r="DT660" s="338"/>
      <c r="DU660" s="365"/>
    </row>
    <row r="661" spans="124:135">
      <c r="DT661" s="338"/>
      <c r="DU661" s="365"/>
    </row>
    <row r="662" spans="124:135">
      <c r="DT662" s="366"/>
      <c r="DU662" s="365"/>
    </row>
    <row r="663" spans="124:135">
      <c r="DT663" s="366"/>
      <c r="DU663" s="365"/>
    </row>
    <row r="664" spans="124:135">
      <c r="DT664" s="366"/>
      <c r="DU664" s="365"/>
    </row>
    <row r="665" spans="124:135">
      <c r="DT665" s="366"/>
      <c r="DU665" s="365"/>
    </row>
    <row r="666" spans="124:135">
      <c r="DT666" s="168"/>
      <c r="DU666" s="365"/>
    </row>
    <row r="667" spans="124:135">
      <c r="DT667" s="168"/>
      <c r="DU667" s="365"/>
    </row>
    <row r="668" spans="124:135">
      <c r="DT668" s="168"/>
      <c r="DU668" s="365"/>
    </row>
    <row r="669" spans="124:135">
      <c r="DT669" s="168"/>
      <c r="DU669" s="365"/>
    </row>
    <row r="670" spans="124:135">
      <c r="DT670" s="365"/>
      <c r="DU670" s="365"/>
    </row>
    <row r="671" spans="124:135">
      <c r="DT671" s="365"/>
      <c r="DU671" s="365"/>
    </row>
    <row r="672" spans="124:135">
      <c r="DT672" s="365"/>
      <c r="DU672" s="365"/>
    </row>
    <row r="673" spans="124:125">
      <c r="DT673" s="365"/>
      <c r="DU673" s="365"/>
    </row>
  </sheetData>
  <conditionalFormatting sqref="A3:A15">
    <cfRule type="expression" dxfId="446"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445" priority="3" stopIfTrue="1">
      <formula>AND(COUNTIF($A$37:$A$41, A17)+COUNTIF($A$3:$A$15, A17)+COUNTIF($A$17:$A$31, A17)+COUNTIF($A$33:$A$35, A17)+COUNTIF($A$43:$A$47, A17)+COUNTIF($A$49:$A$54, A17)+COUNTIF($A$56:$A$99, A17)&gt;1,NOT(ISBLANK(A17)))</formula>
    </cfRule>
  </conditionalFormatting>
  <conditionalFormatting sqref="A34 A54 A56 A62:A65">
    <cfRule type="expression" dxfId="444" priority="2" stopIfTrue="1">
      <formula>AND(COUNTIF($A$54:$A$54, A34)+COUNTIF($A$56:$A$59, A34)+COUNTIF($A$34:$A$34, A34)&gt;1,NOT(ISBLANK(A34)))</formula>
    </cfRule>
  </conditionalFormatting>
  <conditionalFormatting sqref="A72:A99 DW346:DW347">
    <cfRule type="expression" dxfId="443" priority="651" stopIfTrue="1">
      <formula>AND(COUNTIF($A$38:$A$42, A72)+COUNTIF($A$3:$A$15, A72)+COUNTIF($A$17:$A$31, A72)+COUNTIF($A$34:$A$36, A72)+COUNTIF($A$44:$A$48, A72)+COUNTIF($A$50:$A$55, A72)+COUNTIF($A$57:$A$99, A72)&gt;1,NOT(ISBLANK(A72)))</formula>
    </cfRule>
  </conditionalFormatting>
  <conditionalFormatting sqref="F14:F19">
    <cfRule type="duplicateValues" dxfId="442" priority="17"/>
  </conditionalFormatting>
  <conditionalFormatting sqref="P2:P61 P63:P65536">
    <cfRule type="expression" dxfId="441" priority="33" stopIfTrue="1">
      <formula>AND(COUNTIF($P$63:$P$65536, P2)+COUNTIF($P$2:$P$61, P2)&gt;1,NOT(ISBLANK(P2)))</formula>
    </cfRule>
  </conditionalFormatting>
  <conditionalFormatting sqref="Q2 Q4 Q6:Q12 Q15:Q20 Q22:Q23 Q26:Q54 S27:S30 Q68:Q65536">
    <cfRule type="expression" dxfId="440" priority="43" stopIfTrue="1">
      <formula>AND(COUNTIF($Q$68:$Q$65536, Q2)+COUNTIF($Q$2:$Q$2, Q2)+COUNTIF($Q$4:$Q$4, Q2)+COUNTIF($Q$6:$Q$54, Q2)&gt;1,NOT(ISBLANK(Q2)))</formula>
    </cfRule>
  </conditionalFormatting>
  <conditionalFormatting sqref="R4:R6">
    <cfRule type="duplicateValues" dxfId="439" priority="28"/>
  </conditionalFormatting>
  <conditionalFormatting sqref="R7 R9">
    <cfRule type="duplicateValues" dxfId="438" priority="40"/>
  </conditionalFormatting>
  <conditionalFormatting sqref="R10">
    <cfRule type="duplicateValues" dxfId="437" priority="27"/>
  </conditionalFormatting>
  <conditionalFormatting sqref="R11:R18 R29:R33">
    <cfRule type="duplicateValues" dxfId="436" priority="42"/>
  </conditionalFormatting>
  <conditionalFormatting sqref="R19:R20 R37:R39 R34">
    <cfRule type="duplicateValues" dxfId="435" priority="36"/>
  </conditionalFormatting>
  <conditionalFormatting sqref="R21:R23">
    <cfRule type="duplicateValues" dxfId="434" priority="26"/>
  </conditionalFormatting>
  <conditionalFormatting sqref="R49:R55">
    <cfRule type="duplicateValues" dxfId="433" priority="29"/>
  </conditionalFormatting>
  <conditionalFormatting sqref="R49:R61 R2 R63:R65536">
    <cfRule type="expression" dxfId="432" priority="32" stopIfTrue="1">
      <formula>AND(COUNTIF($R$2:$R$2, R2)+COUNTIF($R$63:$R$65536, R2)+COUNTIF($R$49:$R$61, R2)&gt;1,NOT(ISBLANK(R2)))</formula>
    </cfRule>
  </conditionalFormatting>
  <conditionalFormatting sqref="R56:R57">
    <cfRule type="duplicateValues" dxfId="431" priority="30"/>
  </conditionalFormatting>
  <conditionalFormatting sqref="R58:R61 R63">
    <cfRule type="expression" dxfId="430" priority="34" stopIfTrue="1">
      <formula>AND(COUNTIF($R$63:$R$63, R58)+COUNTIF($R$58:$R$61, R58)&gt;1,NOT(ISBLANK(R58)))</formula>
    </cfRule>
  </conditionalFormatting>
  <conditionalFormatting sqref="S4">
    <cfRule type="duplicateValues" dxfId="429" priority="25"/>
  </conditionalFormatting>
  <conditionalFormatting sqref="S6:S8 S10">
    <cfRule type="duplicateValues" dxfId="428" priority="47"/>
  </conditionalFormatting>
  <conditionalFormatting sqref="S12:S17">
    <cfRule type="duplicateValues" dxfId="427" priority="24"/>
  </conditionalFormatting>
  <conditionalFormatting sqref="S18:S19">
    <cfRule type="duplicateValues" dxfId="426" priority="23"/>
  </conditionalFormatting>
  <conditionalFormatting sqref="S20:S26">
    <cfRule type="duplicateValues" dxfId="425" priority="41"/>
  </conditionalFormatting>
  <conditionalFormatting sqref="S31:S52">
    <cfRule type="duplicateValues" dxfId="424" priority="46"/>
  </conditionalFormatting>
  <conditionalFormatting sqref="T4">
    <cfRule type="duplicateValues" dxfId="423" priority="22"/>
  </conditionalFormatting>
  <conditionalFormatting sqref="U4:U6">
    <cfRule type="duplicateValues" dxfId="422" priority="21"/>
  </conditionalFormatting>
  <conditionalFormatting sqref="U7:U14 U26:U30">
    <cfRule type="duplicateValues" dxfId="421" priority="44"/>
  </conditionalFormatting>
  <conditionalFormatting sqref="U15:U16 U31:U32">
    <cfRule type="duplicateValues" dxfId="420" priority="37"/>
  </conditionalFormatting>
  <conditionalFormatting sqref="U17:U19">
    <cfRule type="duplicateValues" dxfId="419" priority="20"/>
  </conditionalFormatting>
  <conditionalFormatting sqref="V4:V6">
    <cfRule type="duplicateValues" dxfId="418" priority="19"/>
  </conditionalFormatting>
  <conditionalFormatting sqref="V17:V19">
    <cfRule type="duplicateValues" dxfId="417" priority="18"/>
  </conditionalFormatting>
  <conditionalFormatting sqref="V21:V30 V7:V14">
    <cfRule type="duplicateValues" dxfId="416" priority="45"/>
  </conditionalFormatting>
  <conditionalFormatting sqref="V31:V32 V15:V16">
    <cfRule type="duplicateValues" dxfId="415" priority="38"/>
  </conditionalFormatting>
  <conditionalFormatting sqref="AC4:AC13 AC15:AC23 AC29:AC34 AC40:AC41 AC43:AC45 AC50:AC53 AC60:AC63">
    <cfRule type="cellIs" dxfId="414" priority="31" operator="equal">
      <formula>1</formula>
    </cfRule>
  </conditionalFormatting>
  <conditionalFormatting sqref="BQ9:BQ10">
    <cfRule type="duplicateValues" dxfId="413" priority="15"/>
  </conditionalFormatting>
  <conditionalFormatting sqref="BQ2:BR2">
    <cfRule type="duplicateValues" dxfId="412" priority="16"/>
  </conditionalFormatting>
  <conditionalFormatting sqref="DT2:DT44">
    <cfRule type="duplicateValues" dxfId="409" priority="9"/>
  </conditionalFormatting>
  <conditionalFormatting sqref="DT2:DT570">
    <cfRule type="duplicateValues" dxfId="408" priority="4"/>
  </conditionalFormatting>
  <conditionalFormatting sqref="DT45:DT87">
    <cfRule type="duplicateValues" dxfId="407" priority="7"/>
  </conditionalFormatting>
  <conditionalFormatting sqref="DT88:DT130">
    <cfRule type="duplicateValues" dxfId="406" priority="8"/>
  </conditionalFormatting>
  <conditionalFormatting sqref="DT131:DT173">
    <cfRule type="duplicateValues" dxfId="405" priority="10"/>
  </conditionalFormatting>
  <conditionalFormatting sqref="DT174:DT217">
    <cfRule type="duplicateValues" dxfId="404" priority="11"/>
  </conditionalFormatting>
  <conditionalFormatting sqref="DT257:DT287">
    <cfRule type="duplicateValues" dxfId="403" priority="14"/>
  </conditionalFormatting>
  <conditionalFormatting sqref="DU257:DU286">
    <cfRule type="duplicateValues" dxfId="402" priority="13"/>
  </conditionalFormatting>
  <conditionalFormatting sqref="DU287">
    <cfRule type="duplicateValues" dxfId="401"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B4CBE79C-9FD3-414F-B728-0313B69BB64D}">
            <xm:f>OR(Ram_4!$AU$10=1,Ram_4!$AU$10=3)</xm:f>
            <x14:dxf>
              <fill>
                <patternFill patternType="darkDown"/>
              </fill>
            </x14:dxf>
          </x14:cfRule>
          <xm:sqref>CH13</xm:sqref>
        </x14:conditionalFormatting>
        <x14:conditionalFormatting xmlns:xm="http://schemas.microsoft.com/office/excel/2006/main">
          <x14:cfRule type="expression" priority="6" id="{406399A7-E565-4439-844C-1E42EEBB5EEC}">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293" customWidth="1"/>
    <col min="2" max="2" width="5.5703125" style="293" customWidth="1"/>
    <col min="3" max="3" width="5.5703125" style="264" customWidth="1"/>
    <col min="4" max="4" width="14.5703125" style="264" customWidth="1"/>
    <col min="5" max="5" width="5.5703125" style="264" customWidth="1"/>
    <col min="6" max="6" width="8.7109375" style="264" customWidth="1"/>
    <col min="7" max="7" width="5.5703125" style="264" customWidth="1"/>
    <col min="8" max="8" width="6" style="264" customWidth="1"/>
    <col min="9" max="9" width="6.28515625" style="264" customWidth="1"/>
    <col min="10" max="12" width="6" style="264" customWidth="1"/>
    <col min="13" max="13" width="6.28515625" style="264" customWidth="1"/>
    <col min="14" max="16" width="6" style="264" customWidth="1"/>
    <col min="17" max="17" width="6.28515625"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65" width="0" style="264" hidden="1" customWidth="1"/>
    <col min="6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31" t="str">
        <f>'Translate&amp;Prices&amp;Logo'!$B$169&amp;" "&amp;" "&amp;5</f>
        <v>Frame  5</v>
      </c>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373"/>
      <c r="AL2" s="373"/>
      <c r="AM2" s="373"/>
      <c r="AN2" s="373"/>
      <c r="AO2" s="373"/>
      <c r="AP2" s="597" t="str">
        <f>'Translate&amp;Prices&amp;Logo'!$B$540</f>
        <v>Main page</v>
      </c>
      <c r="AQ2" s="598"/>
      <c r="AR2" s="598"/>
      <c r="AS2" s="598"/>
      <c r="AW2" s="264" t="e">
        <f>VLOOKUP(H8,'Translate&amp;Prices&amp;Logo'!B77:D82,3,0)</f>
        <v>#N/A</v>
      </c>
      <c r="AX2" s="292" t="e">
        <f>VLOOKUP(AW2,'Translate&amp;Prices&amp;Logo'!B6:D60,2,0)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31"/>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1"/>
      <c r="AG3" s="531"/>
      <c r="AH3" s="531"/>
      <c r="AI3" s="531"/>
      <c r="AJ3" s="531"/>
      <c r="AK3" s="373"/>
      <c r="AL3" s="373"/>
      <c r="AM3" s="373"/>
      <c r="AN3" s="373"/>
      <c r="AO3" s="373"/>
      <c r="AP3" s="597"/>
      <c r="AQ3" s="598"/>
      <c r="AR3" s="598"/>
      <c r="AS3" s="598"/>
      <c r="AX3" s="292" t="e">
        <f>VLOOKUP(AW2,'Translate&amp;Prices&amp;Logo'!B:D,3,0)</f>
        <v>#N/A</v>
      </c>
      <c r="AY3" s="293" t="e">
        <f>AT9+AX3</f>
        <v>#N/A</v>
      </c>
      <c r="AZ3" s="294"/>
      <c r="BA3" s="293"/>
      <c r="BB3" s="292"/>
      <c r="BC3" s="292"/>
      <c r="BD3" s="596">
        <f>(AI30/1000)*H11</f>
        <v>0</v>
      </c>
      <c r="BE3" s="596"/>
      <c r="BF3" s="596"/>
      <c r="BG3" s="596"/>
      <c r="BH3" s="596"/>
      <c r="BI3" s="596">
        <f>(AR14/1000)*M11</f>
        <v>0</v>
      </c>
      <c r="BJ3" s="596"/>
      <c r="BK3" s="596"/>
      <c r="BL3" s="596"/>
      <c r="BM3" s="596"/>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11" t="str">
        <f>IFERROR(IF(kombinace_5!FC2=TRUE,'Translate&amp;Prices&amp;Logo'!B654,IF(VLOOKUP(H8,kombinace_5!$A:$E,5,0)=3,'Translate&amp;Prices&amp;Logo'!B642,"")), "")</f>
        <v/>
      </c>
      <c r="AC4" s="611"/>
      <c r="AD4" s="611"/>
      <c r="AE4" s="611"/>
      <c r="AF4" s="611"/>
      <c r="AG4" s="611"/>
      <c r="AH4" s="611"/>
      <c r="AI4" s="611"/>
      <c r="AJ4" s="611"/>
      <c r="AK4" s="611"/>
      <c r="AL4" s="611"/>
      <c r="AM4" s="611"/>
      <c r="AN4" s="611"/>
      <c r="AO4" s="74"/>
      <c r="AP4" s="74"/>
      <c r="AQ4" s="74"/>
      <c r="AR4" s="74"/>
      <c r="AS4" s="256"/>
      <c r="AT4" s="295"/>
      <c r="AU4" s="296"/>
      <c r="AV4" s="296"/>
    </row>
    <row r="5" spans="1:65" ht="34.5" customHeight="1" thickBot="1">
      <c r="A5" s="74"/>
      <c r="B5" s="610" t="str">
        <f>'Translate&amp;Prices&amp;Logo'!$B$169&amp;" "&amp;" "&amp;1</f>
        <v>Frame  1</v>
      </c>
      <c r="C5" s="610"/>
      <c r="D5" s="610"/>
      <c r="E5" s="257"/>
      <c r="F5" s="610" t="str">
        <f>'Translate&amp;Prices&amp;Logo'!$B$169&amp;" "&amp;" "&amp;2</f>
        <v>Frame  2</v>
      </c>
      <c r="G5" s="610"/>
      <c r="H5" s="610"/>
      <c r="I5" s="74"/>
      <c r="J5" s="610" t="str">
        <f>'Translate&amp;Prices&amp;Logo'!$B$169&amp;" "&amp;" "&amp;3</f>
        <v>Frame  3</v>
      </c>
      <c r="K5" s="610"/>
      <c r="L5" s="610"/>
      <c r="M5" s="74"/>
      <c r="N5" s="610" t="str">
        <f>'Translate&amp;Prices&amp;Logo'!$B$169&amp;" "&amp;" "&amp;4</f>
        <v>Frame  4</v>
      </c>
      <c r="O5" s="610"/>
      <c r="P5" s="610"/>
      <c r="Q5" s="74"/>
      <c r="R5" s="610" t="str">
        <f>'Translate&amp;Prices&amp;Logo'!$B$169&amp;" "&amp;" "&amp;5</f>
        <v>Frame  5</v>
      </c>
      <c r="S5" s="610"/>
      <c r="T5" s="610"/>
      <c r="U5" s="74"/>
      <c r="V5" s="610" t="str">
        <f>'Translate&amp;Prices&amp;Logo'!$B$169&amp;" "&amp;" "&amp;6</f>
        <v>Frame  6</v>
      </c>
      <c r="W5" s="610"/>
      <c r="X5" s="610"/>
      <c r="Y5" s="74"/>
      <c r="Z5" s="74"/>
      <c r="AA5" s="74"/>
      <c r="AB5" s="612"/>
      <c r="AC5" s="612"/>
      <c r="AD5" s="612"/>
      <c r="AE5" s="612"/>
      <c r="AF5" s="612"/>
      <c r="AG5" s="612"/>
      <c r="AH5" s="612"/>
      <c r="AI5" s="612"/>
      <c r="AJ5" s="612"/>
      <c r="AK5" s="612"/>
      <c r="AL5" s="612"/>
      <c r="AM5" s="612"/>
      <c r="AN5" s="612"/>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13" t="str">
        <f>'Translate&amp;Prices&amp;Logo'!$B$542</f>
        <v>Combination of 2 Profiles</v>
      </c>
      <c r="C7" s="614"/>
      <c r="D7" s="614"/>
      <c r="E7" s="614"/>
      <c r="F7" s="614"/>
      <c r="G7" s="651" t="str">
        <f>IF(kombinace_5!FC2=TRUE,AB4,"")</f>
        <v/>
      </c>
      <c r="H7" s="651"/>
      <c r="I7" s="651"/>
      <c r="J7" s="651"/>
      <c r="K7" s="651"/>
      <c r="L7" s="651"/>
      <c r="M7" s="651"/>
      <c r="N7" s="651"/>
      <c r="O7" s="651"/>
      <c r="P7" s="651"/>
      <c r="Q7" s="652"/>
      <c r="R7" s="384"/>
      <c r="S7" s="618" t="str">
        <f>'Translate&amp;Prices&amp;Logo'!$B$572</f>
        <v>Warning:</v>
      </c>
      <c r="T7" s="618"/>
      <c r="U7" s="618"/>
      <c r="V7" s="74"/>
      <c r="W7" s="74"/>
      <c r="X7" s="74"/>
      <c r="Y7" s="74"/>
      <c r="Z7" s="231"/>
      <c r="AA7" s="219"/>
      <c r="AB7" s="220"/>
      <c r="AC7" s="221"/>
      <c r="AD7" s="221"/>
      <c r="AE7" s="221"/>
      <c r="AF7" s="221"/>
      <c r="AG7" s="222"/>
      <c r="AH7" s="222"/>
      <c r="AI7" s="223"/>
      <c r="AJ7" s="617">
        <v>0</v>
      </c>
      <c r="AK7" s="221"/>
      <c r="AL7" s="221"/>
      <c r="AM7" s="221"/>
      <c r="AN7" s="221"/>
      <c r="AO7" s="224"/>
      <c r="AP7" s="225"/>
      <c r="AQ7" s="468"/>
      <c r="AR7" s="74"/>
      <c r="AS7" s="74"/>
      <c r="AT7" s="292"/>
      <c r="AU7" s="299">
        <f>VLOOKUP(H8,kombinace_5!$A:$B,2,0)</f>
        <v>2</v>
      </c>
      <c r="AV7" s="293" t="str">
        <f>IF(AU7=2,"Široký",IF(AU7=1,"Úzký",IF(AU7=3,"kombo")))</f>
        <v>Široký</v>
      </c>
    </row>
    <row r="8" spans="1:65" ht="45.6" customHeight="1">
      <c r="A8" s="212"/>
      <c r="B8" s="376" t="str">
        <f>'Translate&amp;Prices&amp;Logo'!$B$653</f>
        <v>Mesh frame filler</v>
      </c>
      <c r="C8" s="377"/>
      <c r="D8" s="377"/>
      <c r="E8" s="378" t="str">
        <f>'Translate&amp;Prices&amp;Logo'!$B$172</f>
        <v>Type of profile</v>
      </c>
      <c r="F8" s="378"/>
      <c r="G8" s="383"/>
      <c r="H8" s="619"/>
      <c r="I8" s="619"/>
      <c r="J8" s="619"/>
      <c r="K8" s="619"/>
      <c r="L8" s="619"/>
      <c r="M8" s="619"/>
      <c r="N8" s="619"/>
      <c r="O8" s="619"/>
      <c r="P8" s="619"/>
      <c r="Q8" s="620"/>
      <c r="R8" s="385"/>
      <c r="S8" s="633">
        <f>IF(AU10&gt;0,'Translate&amp;Prices&amp;Logo'!B303,IF(H8=kombinace_5!A54,'Translate&amp;Prices&amp;Logo'!B580,0))</f>
        <v>0</v>
      </c>
      <c r="T8" s="634"/>
      <c r="U8" s="634"/>
      <c r="V8" s="634"/>
      <c r="W8" s="634"/>
      <c r="X8" s="634"/>
      <c r="Y8" s="635"/>
      <c r="Z8" s="231"/>
      <c r="AA8" s="227"/>
      <c r="AB8" s="74"/>
      <c r="AC8" s="616" t="str">
        <f>'Translate&amp;Prices&amp;Logo'!$B$242</f>
        <v>Distance from edge</v>
      </c>
      <c r="AD8" s="616"/>
      <c r="AE8" s="616"/>
      <c r="AF8" s="616"/>
      <c r="AG8" s="616"/>
      <c r="AH8" s="74"/>
      <c r="AI8" s="211"/>
      <c r="AJ8" s="617"/>
      <c r="AK8" s="74"/>
      <c r="AL8" s="74"/>
      <c r="AM8" s="74"/>
      <c r="AN8" s="74"/>
      <c r="AO8" s="74"/>
      <c r="AP8" s="227"/>
      <c r="AQ8" s="468"/>
      <c r="AR8" s="74"/>
      <c r="AS8" s="74"/>
      <c r="AT8" s="292" t="e">
        <f>VLOOKUP(VLOOKUP(H8,'Translate&amp;Prices&amp;Logo'!B77:C82,2,0),'Translate&amp;Prices&amp;Logo'!B6:C60,2,0)</f>
        <v>#N/A</v>
      </c>
      <c r="AU8" s="293"/>
      <c r="AV8" s="293"/>
    </row>
    <row r="9" spans="1:65" ht="15.6" customHeight="1">
      <c r="A9" s="212"/>
      <c r="B9" s="624">
        <f>IFERROR(IF(AND(VLOOKUP(H8,kombinace_5!$A:$D,4,0)=1,kombinace_5!FC2=FALSE),'Translate&amp;Prices&amp;Logo'!$B$543,0),0)</f>
        <v>0</v>
      </c>
      <c r="C9" s="625"/>
      <c r="D9" s="625"/>
      <c r="E9" s="625"/>
      <c r="F9" s="625"/>
      <c r="G9" s="249"/>
      <c r="H9" s="605"/>
      <c r="I9" s="605"/>
      <c r="J9" s="605"/>
      <c r="K9" s="605"/>
      <c r="L9" s="605"/>
      <c r="M9" s="605"/>
      <c r="N9" s="605"/>
      <c r="O9" s="605"/>
      <c r="P9" s="605"/>
      <c r="Q9" s="606"/>
      <c r="R9" s="74"/>
      <c r="S9" s="627"/>
      <c r="T9" s="628"/>
      <c r="U9" s="628"/>
      <c r="V9" s="628"/>
      <c r="W9" s="628"/>
      <c r="X9" s="628"/>
      <c r="Y9" s="629"/>
      <c r="Z9" s="231"/>
      <c r="AA9" s="228"/>
      <c r="AB9" s="74"/>
      <c r="AC9" s="621">
        <v>0</v>
      </c>
      <c r="AD9" s="621"/>
      <c r="AE9" s="226"/>
      <c r="AF9" s="615" t="str">
        <f>('Translate&amp;Prices&amp;Logo'!$B$548)&amp;" "&amp;H26&amp;" "&amp;"mm"</f>
        <v>Pitch  mm</v>
      </c>
      <c r="AG9" s="615"/>
      <c r="AH9" s="615"/>
      <c r="AI9" s="615"/>
      <c r="AJ9" s="615"/>
      <c r="AK9" s="615"/>
      <c r="AL9" s="74"/>
      <c r="AM9" s="74"/>
      <c r="AN9" s="74"/>
      <c r="AO9" s="74"/>
      <c r="AP9" s="228"/>
      <c r="AQ9" s="468"/>
      <c r="AR9" s="74"/>
      <c r="AS9" s="74"/>
      <c r="AT9" s="292" t="e">
        <f>VLOOKUP(VLOOKUP(H8,'Translate&amp;Prices&amp;Logo'!B77:C82,2,0),'Translate&amp;Prices&amp;Logo'!B6:D60,3,0)</f>
        <v>#N/A</v>
      </c>
      <c r="AU9" s="299" t="str">
        <f>IFERROR((VLOOKUP(H12,kombinace_5!$DP$2:$DQ$3,2,0)),"")</f>
        <v/>
      </c>
      <c r="AV9" s="293"/>
    </row>
    <row r="10" spans="1:65" ht="18" customHeight="1">
      <c r="A10" s="212"/>
      <c r="B10" s="258"/>
      <c r="C10" s="250"/>
      <c r="D10" s="250"/>
      <c r="E10" s="250"/>
      <c r="F10" s="250"/>
      <c r="G10" s="250"/>
      <c r="H10" s="603"/>
      <c r="I10" s="603"/>
      <c r="J10" s="603"/>
      <c r="K10" s="603"/>
      <c r="L10" s="609"/>
      <c r="M10" s="603"/>
      <c r="N10" s="603"/>
      <c r="O10" s="603"/>
      <c r="P10" s="603"/>
      <c r="Q10" s="604"/>
      <c r="R10" s="212"/>
      <c r="S10" s="627">
        <f>IF(AU10&gt;0,'Translate&amp;Prices&amp;Logo'!B571,0)</f>
        <v>0</v>
      </c>
      <c r="T10" s="628"/>
      <c r="U10" s="628"/>
      <c r="V10" s="628"/>
      <c r="W10" s="628"/>
      <c r="X10" s="628"/>
      <c r="Y10" s="629"/>
      <c r="Z10" s="231"/>
      <c r="AA10" s="228"/>
      <c r="AB10" s="74"/>
      <c r="AC10" s="74"/>
      <c r="AD10" s="622">
        <v>0</v>
      </c>
      <c r="AE10" s="663" t="str">
        <f>'Translate&amp;Prices&amp;Logo'!$B$637</f>
        <v>Distance from the top edge</v>
      </c>
      <c r="AF10" s="74"/>
      <c r="AG10" s="74"/>
      <c r="AH10" s="74"/>
      <c r="AI10" s="211"/>
      <c r="AJ10" s="212"/>
      <c r="AK10" s="74"/>
      <c r="AL10" s="74"/>
      <c r="AM10" s="74"/>
      <c r="AN10" s="74"/>
      <c r="AO10" s="74"/>
      <c r="AP10" s="228"/>
      <c r="AQ10" s="468"/>
      <c r="AR10" s="74"/>
      <c r="AS10" s="74"/>
      <c r="AT10" s="292" t="s">
        <v>2153</v>
      </c>
      <c r="AU10" s="293">
        <f>IFERROR(VLOOKUP(H9,kombinace_5!$BY$13:$BZ$15,2,0),0)</f>
        <v>0</v>
      </c>
      <c r="AV10" s="293"/>
    </row>
    <row r="11" spans="1:65" ht="18" customHeight="1">
      <c r="A11" s="212"/>
      <c r="B11" s="647" t="str">
        <f>('Translate&amp;Prices&amp;Logo'!$B$543)&amp;" "&amp;"("&amp;'Translate&amp;Prices&amp;Logo'!$B$174&amp;")"</f>
        <v>Dividing bars (Quantity)</v>
      </c>
      <c r="C11" s="648"/>
      <c r="D11" s="648"/>
      <c r="E11" s="648"/>
      <c r="F11" s="648"/>
      <c r="G11" s="249"/>
      <c r="H11" s="607"/>
      <c r="I11" s="607"/>
      <c r="J11" s="607"/>
      <c r="K11" s="607"/>
      <c r="L11" s="608"/>
      <c r="M11" s="607"/>
      <c r="N11" s="607"/>
      <c r="O11" s="607"/>
      <c r="P11" s="607"/>
      <c r="Q11" s="623"/>
      <c r="R11" s="212"/>
      <c r="S11" s="627"/>
      <c r="T11" s="628"/>
      <c r="U11" s="628"/>
      <c r="V11" s="628"/>
      <c r="W11" s="628"/>
      <c r="X11" s="628"/>
      <c r="Y11" s="629"/>
      <c r="Z11" s="231"/>
      <c r="AA11" s="229"/>
      <c r="AB11" s="230"/>
      <c r="AC11" s="74"/>
      <c r="AD11" s="622"/>
      <c r="AE11" s="663"/>
      <c r="AF11" s="74"/>
      <c r="AG11" s="74"/>
      <c r="AH11" s="74"/>
      <c r="AI11" s="211"/>
      <c r="AJ11" s="212"/>
      <c r="AK11" s="74"/>
      <c r="AL11" s="74"/>
      <c r="AM11" s="74"/>
      <c r="AN11" s="74"/>
      <c r="AO11" s="231"/>
      <c r="AP11" s="225"/>
      <c r="AQ11" s="468"/>
      <c r="AR11" s="74"/>
      <c r="AS11" s="74"/>
      <c r="AT11" s="299">
        <f>IFERROR(IF(kombinace_5!$H$1=TRUE,BA2+AY3,0),0)</f>
        <v>0</v>
      </c>
      <c r="AU11" s="299"/>
      <c r="AV11" s="293"/>
    </row>
    <row r="12" spans="1:65" ht="18" customHeight="1">
      <c r="A12" s="212"/>
      <c r="B12" s="624" t="str">
        <f>'Translate&amp;Prices&amp;Logo'!$B$258</f>
        <v>Type of fittings</v>
      </c>
      <c r="C12" s="625"/>
      <c r="D12" s="625"/>
      <c r="E12" s="625"/>
      <c r="F12" s="625"/>
      <c r="G12" s="249"/>
      <c r="H12" s="605"/>
      <c r="I12" s="605"/>
      <c r="J12" s="605"/>
      <c r="K12" s="605"/>
      <c r="L12" s="605"/>
      <c r="M12" s="605"/>
      <c r="N12" s="605"/>
      <c r="O12" s="605"/>
      <c r="P12" s="605"/>
      <c r="Q12" s="606"/>
      <c r="R12" s="212"/>
      <c r="S12" s="627"/>
      <c r="T12" s="628"/>
      <c r="U12" s="628"/>
      <c r="V12" s="628"/>
      <c r="W12" s="628"/>
      <c r="X12" s="628"/>
      <c r="Y12" s="629"/>
      <c r="Z12" s="231"/>
      <c r="AA12" s="229"/>
      <c r="AB12" s="230"/>
      <c r="AC12" s="74"/>
      <c r="AD12" s="622"/>
      <c r="AE12" s="663"/>
      <c r="AF12" s="74"/>
      <c r="AG12" s="74"/>
      <c r="AH12" s="74"/>
      <c r="AI12" s="211"/>
      <c r="AJ12" s="212"/>
      <c r="AK12" s="74"/>
      <c r="AL12" s="74"/>
      <c r="AM12" s="74"/>
      <c r="AN12" s="74"/>
      <c r="AO12" s="231"/>
      <c r="AP12" s="225"/>
      <c r="AQ12" s="468"/>
      <c r="AR12" s="74"/>
      <c r="AS12" s="74"/>
      <c r="AT12" s="293"/>
      <c r="AU12" s="293"/>
      <c r="AV12" s="293"/>
    </row>
    <row r="13" spans="1:65" ht="18" customHeight="1" thickBot="1">
      <c r="A13" s="212"/>
      <c r="B13" s="624" t="str">
        <f>'Translate&amp;Prices&amp;Logo'!$B$544</f>
        <v>Fittings brand</v>
      </c>
      <c r="C13" s="625"/>
      <c r="D13" s="625"/>
      <c r="E13" s="625"/>
      <c r="F13" s="625"/>
      <c r="G13" s="249"/>
      <c r="H13" s="605"/>
      <c r="I13" s="605"/>
      <c r="J13" s="605"/>
      <c r="K13" s="605"/>
      <c r="L13" s="605"/>
      <c r="M13" s="605"/>
      <c r="N13" s="605"/>
      <c r="O13" s="605"/>
      <c r="P13" s="605"/>
      <c r="Q13" s="606"/>
      <c r="R13" s="212"/>
      <c r="S13" s="627">
        <f>IF(H13="Salice"," ",IF(H19&gt;=2,'Translate&amp;Prices&amp;Logo'!B575,0))</f>
        <v>0</v>
      </c>
      <c r="T13" s="628"/>
      <c r="U13" s="628"/>
      <c r="V13" s="628"/>
      <c r="W13" s="628"/>
      <c r="X13" s="628"/>
      <c r="Y13" s="629"/>
      <c r="Z13" s="231"/>
      <c r="AA13" s="229"/>
      <c r="AB13" s="230"/>
      <c r="AC13" s="74"/>
      <c r="AD13" s="226"/>
      <c r="AE13" s="663"/>
      <c r="AF13" s="74"/>
      <c r="AG13" s="74"/>
      <c r="AH13" s="74"/>
      <c r="AI13" s="211"/>
      <c r="AJ13" s="212"/>
      <c r="AK13" s="74"/>
      <c r="AL13" s="74"/>
      <c r="AM13" s="74"/>
      <c r="AN13" s="74"/>
      <c r="AO13" s="231"/>
      <c r="AP13" s="225"/>
      <c r="AQ13" s="468"/>
      <c r="AR13" s="74"/>
      <c r="AS13" s="74"/>
      <c r="AT13" s="412">
        <f>IFERROR((((AI30/1000)+(AR14/1000))*2)*(VLOOKUP(H8,'Translate&amp;Prices&amp;Logo'!B6:C74,2,0))+(VLOOKUP(H8,'Translate&amp;Prices&amp;Logo'!B6:D74,3,0)),0)</f>
        <v>0</v>
      </c>
      <c r="AU13" s="299"/>
      <c r="AV13" s="293"/>
    </row>
    <row r="14" spans="1:65" ht="18" customHeight="1">
      <c r="A14" s="212"/>
      <c r="B14" s="624">
        <f>IFERROR(IF(H12='Translate&amp;Prices&amp;Logo'!B551,'Translate&amp;Prices&amp;Logo'!$B$546,0),0)</f>
        <v>0</v>
      </c>
      <c r="C14" s="625"/>
      <c r="D14" s="625"/>
      <c r="E14" s="625"/>
      <c r="F14" s="625"/>
      <c r="G14" s="249"/>
      <c r="H14" s="605"/>
      <c r="I14" s="605"/>
      <c r="J14" s="605"/>
      <c r="K14" s="605"/>
      <c r="L14" s="605"/>
      <c r="M14" s="605"/>
      <c r="N14" s="605"/>
      <c r="O14" s="605"/>
      <c r="P14" s="605"/>
      <c r="Q14" s="606"/>
      <c r="R14" s="212"/>
      <c r="S14" s="627"/>
      <c r="T14" s="628"/>
      <c r="U14" s="628"/>
      <c r="V14" s="628"/>
      <c r="W14" s="628"/>
      <c r="X14" s="628"/>
      <c r="Y14" s="629"/>
      <c r="Z14" s="231"/>
      <c r="AA14" s="229"/>
      <c r="AB14" s="230"/>
      <c r="AC14" s="74"/>
      <c r="AD14" s="626" t="str">
        <f>('Translate&amp;Prices&amp;Logo'!$B$548)&amp;" "&amp;H26&amp;" "&amp;"mm"</f>
        <v>Pitch  mm</v>
      </c>
      <c r="AE14" s="663"/>
      <c r="AF14" s="74"/>
      <c r="AG14" s="74"/>
      <c r="AH14" s="74"/>
      <c r="AI14" s="211"/>
      <c r="AJ14" s="212"/>
      <c r="AK14" s="74"/>
      <c r="AL14" s="74"/>
      <c r="AM14" s="661" t="str">
        <f>('Translate&amp;Prices&amp;Logo'!$B$548)&amp;" "&amp;H26&amp;" "&amp;"mm"</f>
        <v>Pitch  mm</v>
      </c>
      <c r="AN14" s="74"/>
      <c r="AO14" s="232"/>
      <c r="AP14" s="225"/>
      <c r="AQ14" s="468"/>
      <c r="AR14" s="602"/>
      <c r="AS14" s="74"/>
      <c r="AT14" s="299"/>
      <c r="AU14" s="293"/>
      <c r="AV14" s="293"/>
      <c r="AW14" s="318" t="s">
        <v>3169</v>
      </c>
    </row>
    <row r="15" spans="1:65" ht="18" customHeight="1" thickBot="1">
      <c r="A15" s="212"/>
      <c r="B15" s="624" t="str">
        <f>'Translate&amp;Prices&amp;Logo'!$B$545</f>
        <v>Fittings variant</v>
      </c>
      <c r="C15" s="625"/>
      <c r="D15" s="625"/>
      <c r="E15" s="625"/>
      <c r="F15" s="625"/>
      <c r="G15" s="249"/>
      <c r="H15" s="605"/>
      <c r="I15" s="605"/>
      <c r="J15" s="605"/>
      <c r="K15" s="605"/>
      <c r="L15" s="605"/>
      <c r="M15" s="605"/>
      <c r="N15" s="605"/>
      <c r="O15" s="605"/>
      <c r="P15" s="605"/>
      <c r="Q15" s="606"/>
      <c r="R15" s="212"/>
      <c r="S15" s="627"/>
      <c r="T15" s="628"/>
      <c r="U15" s="628"/>
      <c r="V15" s="628"/>
      <c r="W15" s="628"/>
      <c r="X15" s="628"/>
      <c r="Y15" s="629"/>
      <c r="Z15" s="231"/>
      <c r="AA15" s="229"/>
      <c r="AB15" s="233"/>
      <c r="AC15" s="74"/>
      <c r="AD15" s="626"/>
      <c r="AE15" s="663"/>
      <c r="AF15" s="74"/>
      <c r="AG15" s="74"/>
      <c r="AH15" s="74"/>
      <c r="AI15" s="211"/>
      <c r="AJ15" s="212"/>
      <c r="AK15" s="74"/>
      <c r="AL15" s="74"/>
      <c r="AM15" s="661"/>
      <c r="AN15" s="74"/>
      <c r="AO15" s="232"/>
      <c r="AP15" s="225"/>
      <c r="AQ15" s="468"/>
      <c r="AR15" s="602"/>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5" t="str">
        <f>IF(H15=kombinace_5!AB40,'Translate&amp;Prices&amp;Logo'!$B$224,IF(H15=kombinace_5!AB41,'Translate&amp;Prices&amp;Logo'!$B$224,IF(H12='závěsy dle výklopu'!BQ2,'Translate&amp;Prices&amp;Logo'!$B$222,'Translate&amp;Prices&amp;Logo'!$B$218)))</f>
        <v>Select Frame Position</v>
      </c>
      <c r="C16" s="646"/>
      <c r="D16" s="646"/>
      <c r="E16" s="646"/>
      <c r="F16" s="644"/>
      <c r="G16" s="644"/>
      <c r="H16" s="644"/>
      <c r="I16" s="644"/>
      <c r="J16" s="640" t="str">
        <f>IF(OR(H15=kombinace_5!AB40,H15=kombinace_5!AB7,H15=kombinace_5!AB15,H15=kombinace_5!AB20,H15=kombinace_5!AB21,H15=kombinace_5!AB22),'Translate&amp;Prices&amp;Logo'!$B$226,IF(H15=kombinace_5!AB41,'Translate&amp;Prices&amp;Logo'!$B$226,'Translate&amp;Prices&amp;Logo'!$B$232))</f>
        <v>Second door type</v>
      </c>
      <c r="K16" s="640"/>
      <c r="L16" s="640"/>
      <c r="M16" s="640"/>
      <c r="N16" s="638"/>
      <c r="O16" s="638"/>
      <c r="P16" s="638"/>
      <c r="Q16" s="639"/>
      <c r="R16" s="212"/>
      <c r="S16" s="627"/>
      <c r="T16" s="628"/>
      <c r="U16" s="628"/>
      <c r="V16" s="628"/>
      <c r="W16" s="628"/>
      <c r="X16" s="628"/>
      <c r="Y16" s="629"/>
      <c r="Z16" s="231"/>
      <c r="AA16" s="229"/>
      <c r="AB16" s="233"/>
      <c r="AC16" s="74"/>
      <c r="AD16" s="626"/>
      <c r="AE16" s="663"/>
      <c r="AF16" s="74"/>
      <c r="AG16" s="74"/>
      <c r="AH16" s="74"/>
      <c r="AI16" s="211"/>
      <c r="AJ16" s="212"/>
      <c r="AK16" s="74"/>
      <c r="AL16" s="74"/>
      <c r="AM16" s="661"/>
      <c r="AN16" s="74"/>
      <c r="AO16" s="232"/>
      <c r="AP16" s="225"/>
      <c r="AQ16" s="468"/>
      <c r="AR16" s="602"/>
      <c r="AS16" s="74"/>
      <c r="AT16" s="299"/>
      <c r="AU16" s="293">
        <f>(AI30/1000)/AU15</f>
        <v>0</v>
      </c>
      <c r="AV16" s="293">
        <f>(AR14/1000)/AV15</f>
        <v>0</v>
      </c>
      <c r="AW16" s="320">
        <f>(2*AU16)+(2*AV16)</f>
        <v>0</v>
      </c>
    </row>
    <row r="17" spans="1:52" ht="18" customHeight="1">
      <c r="A17" s="212"/>
      <c r="B17" s="624">
        <f>IF(H12='Translate&amp;Prices&amp;Logo'!B551,'Translate&amp;Prices&amp;Logo'!B238,IF(H15=kombinace_5!AB8,'Translate&amp;Prices&amp;Logo'!B284,0))</f>
        <v>0</v>
      </c>
      <c r="C17" s="625"/>
      <c r="D17" s="625"/>
      <c r="E17" s="625"/>
      <c r="F17" s="625"/>
      <c r="G17" s="249"/>
      <c r="H17" s="605"/>
      <c r="I17" s="605"/>
      <c r="J17" s="605"/>
      <c r="K17" s="605"/>
      <c r="L17" s="605"/>
      <c r="M17" s="605"/>
      <c r="N17" s="605"/>
      <c r="O17" s="605"/>
      <c r="P17" s="605"/>
      <c r="Q17" s="606"/>
      <c r="R17" s="212"/>
      <c r="S17" s="627"/>
      <c r="T17" s="628"/>
      <c r="U17" s="628"/>
      <c r="V17" s="628"/>
      <c r="W17" s="628"/>
      <c r="X17" s="628"/>
      <c r="Y17" s="629"/>
      <c r="Z17" s="231"/>
      <c r="AA17" s="229"/>
      <c r="AB17" s="233"/>
      <c r="AC17" s="74"/>
      <c r="AD17" s="626"/>
      <c r="AE17" s="74"/>
      <c r="AF17" s="74"/>
      <c r="AG17" s="74"/>
      <c r="AH17" s="74"/>
      <c r="AI17" s="211"/>
      <c r="AJ17" s="212"/>
      <c r="AK17" s="74"/>
      <c r="AL17" s="74"/>
      <c r="AM17" s="661"/>
      <c r="AN17" s="74"/>
      <c r="AO17" s="232"/>
      <c r="AP17" s="225"/>
      <c r="AQ17" s="468"/>
      <c r="AR17" s="602"/>
      <c r="AS17" s="74"/>
      <c r="AT17" s="299">
        <f>IF(AU10=1,BD3*'Translate&amp;Prices&amp;Logo'!C51,IF(AU10=2,BI3*'Translate&amp;Prices&amp;Logo'!C51,IF(AU10=3,(BD3+BI3)*'Translate&amp;Prices&amp;Logo'!C51,IF(AU10=0,0))))</f>
        <v>0</v>
      </c>
      <c r="AU17" s="293" t="e">
        <f>IF(H13&lt;&gt;"Salice",AU23,0)</f>
        <v>#N/A</v>
      </c>
      <c r="AV17" s="293">
        <f>IF(H13="Salice",VLOOKUP(H17,kombinace_5!$BY:$BZ,2,0),0)</f>
        <v>0</v>
      </c>
    </row>
    <row r="18" spans="1:52" ht="18" customHeight="1">
      <c r="A18" s="212"/>
      <c r="B18" s="624">
        <f>IFERROR(IF(VLOOKUP(H15,kombinace_5!CD:CE,2,0)=1,'Translate&amp;Prices&amp;Logo'!$B$547,0),0)</f>
        <v>0</v>
      </c>
      <c r="C18" s="625"/>
      <c r="D18" s="625"/>
      <c r="E18" s="625"/>
      <c r="F18" s="625"/>
      <c r="G18" s="249"/>
      <c r="H18" s="605"/>
      <c r="I18" s="605"/>
      <c r="J18" s="605"/>
      <c r="K18" s="605"/>
      <c r="L18" s="605"/>
      <c r="M18" s="605"/>
      <c r="N18" s="605"/>
      <c r="O18" s="605"/>
      <c r="P18" s="605"/>
      <c r="Q18" s="606"/>
      <c r="R18" s="212"/>
      <c r="S18" s="627">
        <f>IFERROR((IF(AND(AU7=2,H27&gt;""),'Translate&amp;Prices&amp;Logo'!$B$576,IF(AND(AU7=1,H27&gt;""),'Translate&amp;Prices&amp;Logo'!$B$626,IF(AND(AU7=3,H27&gt;""),'Translate&amp;Prices&amp;Logo'!$B$626,0)))),0)</f>
        <v>0</v>
      </c>
      <c r="T18" s="628"/>
      <c r="U18" s="628"/>
      <c r="V18" s="628"/>
      <c r="W18" s="628"/>
      <c r="X18" s="628"/>
      <c r="Y18" s="629"/>
      <c r="Z18" s="231"/>
      <c r="AA18" s="229"/>
      <c r="AB18" s="233"/>
      <c r="AC18" s="74"/>
      <c r="AD18" s="626"/>
      <c r="AE18" s="74"/>
      <c r="AF18" s="74"/>
      <c r="AG18" s="74"/>
      <c r="AH18" s="74"/>
      <c r="AI18" s="211"/>
      <c r="AJ18" s="212"/>
      <c r="AK18" s="74"/>
      <c r="AL18" s="74"/>
      <c r="AM18" s="661"/>
      <c r="AN18" s="74"/>
      <c r="AO18" s="232"/>
      <c r="AP18" s="225"/>
      <c r="AQ18" s="468"/>
      <c r="AR18" s="602"/>
      <c r="AS18" s="74"/>
      <c r="AT18" s="299"/>
      <c r="AU18" s="293"/>
      <c r="AV18" s="293"/>
    </row>
    <row r="19" spans="1:52" ht="18" customHeight="1">
      <c r="A19" s="212"/>
      <c r="B19" s="624">
        <f>IFERROR(IF(H12='Translate&amp;Prices&amp;Logo'!B551,'Translate&amp;Prices&amp;Logo'!$B$223,IF(VLOOKUP(H15,kombinace_5!CD:CE,2,0)=1,'Translate&amp;Prices&amp;Logo'!$B$223,)),0)</f>
        <v>0</v>
      </c>
      <c r="C19" s="625"/>
      <c r="D19" s="625"/>
      <c r="E19" s="625"/>
      <c r="F19" s="625"/>
      <c r="G19" s="249"/>
      <c r="H19" s="605"/>
      <c r="I19" s="605"/>
      <c r="J19" s="605"/>
      <c r="K19" s="605"/>
      <c r="L19" s="605"/>
      <c r="M19" s="605"/>
      <c r="N19" s="605"/>
      <c r="O19" s="605"/>
      <c r="P19" s="605"/>
      <c r="Q19" s="606"/>
      <c r="R19" s="212"/>
      <c r="S19" s="627"/>
      <c r="T19" s="628"/>
      <c r="U19" s="628"/>
      <c r="V19" s="628"/>
      <c r="W19" s="628"/>
      <c r="X19" s="628"/>
      <c r="Y19" s="629"/>
      <c r="Z19" s="231"/>
      <c r="AA19" s="228"/>
      <c r="AB19" s="601">
        <v>0</v>
      </c>
      <c r="AC19" s="601"/>
      <c r="AD19" s="626"/>
      <c r="AE19" s="74"/>
      <c r="AF19" s="74"/>
      <c r="AG19" s="74"/>
      <c r="AH19" s="74"/>
      <c r="AI19" s="310"/>
      <c r="AJ19" s="212"/>
      <c r="AK19" s="74"/>
      <c r="AL19" s="660" t="str">
        <f>'Translate&amp;Prices&amp;Logo'!$B$636</f>
        <v>Distance from the bottom edge</v>
      </c>
      <c r="AM19" s="661"/>
      <c r="AN19" s="601">
        <v>0</v>
      </c>
      <c r="AO19" s="601"/>
      <c r="AP19" s="227"/>
      <c r="AQ19" s="468"/>
      <c r="AR19" s="600" t="str">
        <f>'Translate&amp;Prices&amp;Logo'!$B$176</f>
        <v>Height</v>
      </c>
      <c r="AS19" s="74"/>
      <c r="AT19" s="299"/>
      <c r="AU19" s="291">
        <f>IFERROR(IF(H12='závěsy dle výklopu'!BR2,VLOOKUP(H15,kombinace_5!$CD$3:$CF$18,3,0),IF(H12='závěsy dle výklopu'!BQ2,1,0)),0)</f>
        <v>0</v>
      </c>
      <c r="AV19" s="293">
        <f>IFERROR(VLOOKUP(H15,kombinace_5!$CD:$CF,3,0),0)</f>
        <v>0</v>
      </c>
    </row>
    <row r="20" spans="1:52" ht="18" customHeight="1">
      <c r="A20" s="212"/>
      <c r="B20" s="649">
        <f>IF(H13&lt;&gt;"Salice",(IFERROR('Translate&amp;Prices&amp;Logo'!$B$242&amp;" "&amp;(VLOOKUP(H17,kombinace_5!$BY$32:$CA$35,2,0)),0)),0)</f>
        <v>0</v>
      </c>
      <c r="C20" s="650"/>
      <c r="D20" s="650"/>
      <c r="E20" s="650"/>
      <c r="F20" s="636">
        <v>100</v>
      </c>
      <c r="G20" s="636"/>
      <c r="H20" s="636"/>
      <c r="I20" s="636"/>
      <c r="J20" s="650">
        <f>IFERROR('Translate&amp;Prices&amp;Logo'!$B$242&amp;" "&amp;(VLOOKUP(H17,kombinace_5!$BY$32:$CA$35,3,0)),0)</f>
        <v>0</v>
      </c>
      <c r="K20" s="650"/>
      <c r="L20" s="650"/>
      <c r="M20" s="650"/>
      <c r="N20" s="636">
        <v>100</v>
      </c>
      <c r="O20" s="636"/>
      <c r="P20" s="636"/>
      <c r="Q20" s="637"/>
      <c r="R20" s="212"/>
      <c r="S20" s="627"/>
      <c r="T20" s="628"/>
      <c r="U20" s="628"/>
      <c r="V20" s="628"/>
      <c r="W20" s="628"/>
      <c r="X20" s="628"/>
      <c r="Y20" s="629"/>
      <c r="Z20" s="231"/>
      <c r="AA20" s="229"/>
      <c r="AB20" s="230"/>
      <c r="AC20" s="74"/>
      <c r="AD20" s="626"/>
      <c r="AE20" s="74"/>
      <c r="AF20" s="74"/>
      <c r="AG20" s="74"/>
      <c r="AH20" s="74"/>
      <c r="AI20" s="211"/>
      <c r="AJ20" s="212"/>
      <c r="AK20" s="74"/>
      <c r="AL20" s="660"/>
      <c r="AM20" s="661"/>
      <c r="AN20" s="74"/>
      <c r="AO20" s="232"/>
      <c r="AP20" s="225"/>
      <c r="AQ20" s="468"/>
      <c r="AR20" s="600"/>
      <c r="AS20" s="74"/>
      <c r="AT20" s="299"/>
      <c r="AU20" s="293"/>
      <c r="AV20" s="293"/>
    </row>
    <row r="21" spans="1:52" ht="18" customHeight="1">
      <c r="A21" s="212"/>
      <c r="B21" s="624" t="str">
        <f>IF(kombinace_5!FC2=FALSE,'Translate&amp;Prices&amp;Logo'!$B$173," ")</f>
        <v>Type of glass</v>
      </c>
      <c r="C21" s="625"/>
      <c r="D21" s="625"/>
      <c r="E21" s="625"/>
      <c r="F21" s="625"/>
      <c r="G21" s="249"/>
      <c r="H21" s="605"/>
      <c r="I21" s="605"/>
      <c r="J21" s="605"/>
      <c r="K21" s="605"/>
      <c r="L21" s="605"/>
      <c r="M21" s="605"/>
      <c r="N21" s="605"/>
      <c r="O21" s="605"/>
      <c r="P21" s="605"/>
      <c r="Q21" s="606"/>
      <c r="R21" s="212"/>
      <c r="S21" s="627"/>
      <c r="T21" s="628"/>
      <c r="U21" s="628"/>
      <c r="V21" s="628"/>
      <c r="W21" s="628"/>
      <c r="X21" s="628"/>
      <c r="Y21" s="629"/>
      <c r="Z21" s="231"/>
      <c r="AA21" s="229"/>
      <c r="AB21" s="230"/>
      <c r="AC21" s="74"/>
      <c r="AD21" s="626"/>
      <c r="AE21" s="74"/>
      <c r="AF21" s="74"/>
      <c r="AG21" s="74"/>
      <c r="AH21" s="74"/>
      <c r="AI21" s="211"/>
      <c r="AJ21" s="212"/>
      <c r="AK21" s="74"/>
      <c r="AL21" s="660"/>
      <c r="AM21" s="661"/>
      <c r="AN21" s="74"/>
      <c r="AO21" s="231"/>
      <c r="AP21" s="225"/>
      <c r="AQ21" s="468"/>
      <c r="AR21" s="600"/>
      <c r="AS21" s="74"/>
      <c r="AT21" s="299"/>
      <c r="AU21" s="293"/>
      <c r="AV21" s="293"/>
      <c r="AY21" s="264" t="b">
        <f>AND(AU7=2,H27&gt;"")</f>
        <v>0</v>
      </c>
      <c r="AZ21" s="264" t="b">
        <f>AND(AU7=1,H27&gt;"")</f>
        <v>0</v>
      </c>
    </row>
    <row r="22" spans="1:52" ht="18" customHeight="1">
      <c r="A22" s="212"/>
      <c r="B22" s="379"/>
      <c r="C22" s="380"/>
      <c r="D22" s="380"/>
      <c r="E22" s="380"/>
      <c r="F22" s="380"/>
      <c r="G22" s="250"/>
      <c r="H22" s="250"/>
      <c r="I22" s="250"/>
      <c r="J22" s="250"/>
      <c r="K22" s="250"/>
      <c r="L22" s="250"/>
      <c r="M22" s="250"/>
      <c r="N22" s="250"/>
      <c r="O22" s="250"/>
      <c r="P22" s="250"/>
      <c r="Q22" s="306"/>
      <c r="R22" s="212"/>
      <c r="S22" s="627"/>
      <c r="T22" s="628"/>
      <c r="U22" s="628"/>
      <c r="V22" s="628"/>
      <c r="W22" s="628"/>
      <c r="X22" s="628"/>
      <c r="Y22" s="629"/>
      <c r="Z22" s="231"/>
      <c r="AA22" s="229"/>
      <c r="AB22" s="230"/>
      <c r="AC22" s="74"/>
      <c r="AD22" s="74"/>
      <c r="AE22" s="74"/>
      <c r="AF22" s="74"/>
      <c r="AG22" s="74"/>
      <c r="AH22" s="74"/>
      <c r="AI22" s="211"/>
      <c r="AJ22" s="212"/>
      <c r="AK22" s="74"/>
      <c r="AL22" s="660"/>
      <c r="AM22" s="226"/>
      <c r="AN22" s="74"/>
      <c r="AO22" s="231"/>
      <c r="AP22" s="225"/>
      <c r="AQ22" s="468"/>
      <c r="AR22" s="600"/>
      <c r="AS22" s="74"/>
      <c r="AT22" s="299"/>
      <c r="AU22" s="293"/>
      <c r="AV22" s="293"/>
    </row>
    <row r="23" spans="1:52" ht="18" customHeight="1">
      <c r="A23" s="212"/>
      <c r="B23" s="379"/>
      <c r="C23" s="380"/>
      <c r="D23" s="380"/>
      <c r="E23" s="380"/>
      <c r="F23" s="380"/>
      <c r="G23" s="250"/>
      <c r="H23" s="568" t="str">
        <f>"↥↥  "&amp;'Translate&amp;Prices&amp;Logo'!$B$573&amp;"  ↥↥"</f>
        <v>↥↥  Do not change after you make a choice type of glass/mesh  ↥↥</v>
      </c>
      <c r="I23" s="568"/>
      <c r="J23" s="568"/>
      <c r="K23" s="568"/>
      <c r="L23" s="568"/>
      <c r="M23" s="568"/>
      <c r="N23" s="568"/>
      <c r="O23" s="568"/>
      <c r="P23" s="568"/>
      <c r="Q23" s="662"/>
      <c r="R23" s="212"/>
      <c r="S23" s="630"/>
      <c r="T23" s="631"/>
      <c r="U23" s="631"/>
      <c r="V23" s="631"/>
      <c r="W23" s="631"/>
      <c r="X23" s="631"/>
      <c r="Y23" s="632"/>
      <c r="Z23" s="231"/>
      <c r="AA23" s="229"/>
      <c r="AB23" s="230"/>
      <c r="AC23" s="74"/>
      <c r="AD23" s="74"/>
      <c r="AE23" s="74"/>
      <c r="AF23" s="74"/>
      <c r="AG23" s="74"/>
      <c r="AH23" s="74"/>
      <c r="AI23" s="211"/>
      <c r="AJ23" s="212"/>
      <c r="AK23" s="74"/>
      <c r="AL23" s="660"/>
      <c r="AM23" s="617">
        <v>0</v>
      </c>
      <c r="AN23" s="74"/>
      <c r="AO23" s="231"/>
      <c r="AP23" s="225"/>
      <c r="AQ23" s="468"/>
      <c r="AR23" s="600"/>
      <c r="AS23" s="74"/>
      <c r="AT23" s="299"/>
      <c r="AU23" s="293" t="e">
        <f>VLOOKUP(H17,kombinace_5!$BY$3:$BZ$6,2,0)</f>
        <v>#N/A</v>
      </c>
      <c r="AV23" s="293"/>
    </row>
    <row r="24" spans="1:52" ht="18" customHeight="1">
      <c r="A24" s="212"/>
      <c r="B24" s="685" t="str">
        <f>'Translate&amp;Prices&amp;Logo'!$B$562</f>
        <v>Type of foil</v>
      </c>
      <c r="C24" s="686"/>
      <c r="D24" s="686"/>
      <c r="E24" s="686"/>
      <c r="F24" s="686"/>
      <c r="G24" s="249"/>
      <c r="H24" s="607"/>
      <c r="I24" s="607"/>
      <c r="J24" s="607"/>
      <c r="K24" s="607"/>
      <c r="L24" s="607"/>
      <c r="M24" s="607"/>
      <c r="N24" s="607"/>
      <c r="O24" s="607"/>
      <c r="P24" s="607"/>
      <c r="Q24" s="623"/>
      <c r="R24" s="212"/>
      <c r="S24" s="618" t="str">
        <f>'Translate&amp;Prices&amp;Logo'!$B$177</f>
        <v>Notes</v>
      </c>
      <c r="T24" s="618"/>
      <c r="U24" s="618"/>
      <c r="Z24" s="231"/>
      <c r="AA24" s="229"/>
      <c r="AB24" s="230"/>
      <c r="AC24" s="616" t="str">
        <f>'Translate&amp;Prices&amp;Logo'!$B$242</f>
        <v>Distance from edge</v>
      </c>
      <c r="AD24" s="616"/>
      <c r="AE24" s="616"/>
      <c r="AF24" s="616"/>
      <c r="AG24" s="616"/>
      <c r="AH24" s="74"/>
      <c r="AI24" s="211"/>
      <c r="AJ24" s="212"/>
      <c r="AK24" s="74"/>
      <c r="AL24" s="660"/>
      <c r="AM24" s="617"/>
      <c r="AN24" s="74"/>
      <c r="AO24" s="231"/>
      <c r="AP24" s="234"/>
      <c r="AQ24" s="468"/>
      <c r="AR24" s="74"/>
      <c r="AS24" s="486">
        <f>IF(H28&gt;0,AR14,0)</f>
        <v>0</v>
      </c>
      <c r="AT24" s="299"/>
      <c r="AU24" s="293" t="e">
        <f>CONCATENATE(AU23,"_",H19)</f>
        <v>#N/A</v>
      </c>
      <c r="AV24" s="293"/>
      <c r="AW24" s="264">
        <f>IF(AI30&gt;=2600,1.3,IF(AR14&gt;=2600,1.3,1))</f>
        <v>1</v>
      </c>
    </row>
    <row r="25" spans="1:52" ht="18" customHeight="1">
      <c r="A25" s="212"/>
      <c r="B25" s="624" t="str">
        <f>'Translate&amp;Prices&amp;Logo'!$B$625</f>
        <v>Type of glass/mesh</v>
      </c>
      <c r="C25" s="625"/>
      <c r="D25" s="625"/>
      <c r="E25" s="625"/>
      <c r="F25" s="625"/>
      <c r="G25" s="249"/>
      <c r="H25" s="605"/>
      <c r="I25" s="605"/>
      <c r="J25" s="605"/>
      <c r="K25" s="605"/>
      <c r="L25" s="605"/>
      <c r="M25" s="605"/>
      <c r="N25" s="605"/>
      <c r="O25" s="605"/>
      <c r="P25" s="605"/>
      <c r="Q25" s="606"/>
      <c r="R25" s="212"/>
      <c r="S25" s="665"/>
      <c r="T25" s="666"/>
      <c r="U25" s="666"/>
      <c r="V25" s="666"/>
      <c r="W25" s="666"/>
      <c r="X25" s="666"/>
      <c r="Y25" s="667"/>
      <c r="Z25" s="231"/>
      <c r="AA25" s="229"/>
      <c r="AB25" s="230"/>
      <c r="AC25" s="601">
        <v>0</v>
      </c>
      <c r="AD25" s="601"/>
      <c r="AE25" s="226"/>
      <c r="AF25" s="615" t="str">
        <f>('Translate&amp;Prices&amp;Logo'!$B$548)&amp;" "&amp;H26&amp;" "&amp;"mm"</f>
        <v>Pitch  mm</v>
      </c>
      <c r="AG25" s="615"/>
      <c r="AH25" s="615"/>
      <c r="AI25" s="615"/>
      <c r="AJ25" s="615"/>
      <c r="AK25" s="615"/>
      <c r="AL25" s="660"/>
      <c r="AM25" s="617"/>
      <c r="AN25" s="74"/>
      <c r="AO25" s="231"/>
      <c r="AP25" s="234"/>
      <c r="AQ25" s="468"/>
      <c r="AR25" s="74"/>
      <c r="AS25" s="74"/>
      <c r="AT25" s="299"/>
      <c r="AU25" s="293" t="e">
        <f>VLOOKUP(H27,kombinace_5!$BY:$BZ,2,0)</f>
        <v>#N/A</v>
      </c>
      <c r="AV25" s="293"/>
    </row>
    <row r="26" spans="1:52" ht="18" customHeight="1">
      <c r="A26" s="212"/>
      <c r="B26" s="624" t="str">
        <f>'Translate&amp;Prices&amp;Logo'!$B$549</f>
        <v>Handle diameter (mm)</v>
      </c>
      <c r="C26" s="625"/>
      <c r="D26" s="625"/>
      <c r="E26" s="625"/>
      <c r="F26" s="625"/>
      <c r="G26" s="249"/>
      <c r="H26" s="656"/>
      <c r="I26" s="656"/>
      <c r="J26" s="656"/>
      <c r="K26" s="656"/>
      <c r="L26" s="656"/>
      <c r="M26" s="656"/>
      <c r="N26" s="656"/>
      <c r="O26" s="656"/>
      <c r="P26" s="656"/>
      <c r="Q26" s="657"/>
      <c r="R26" s="212"/>
      <c r="S26" s="668"/>
      <c r="T26" s="669"/>
      <c r="U26" s="669"/>
      <c r="V26" s="669"/>
      <c r="W26" s="669"/>
      <c r="X26" s="669"/>
      <c r="Y26" s="670"/>
      <c r="Z26" s="231"/>
      <c r="AA26" s="229"/>
      <c r="AB26" s="230"/>
      <c r="AC26" s="74"/>
      <c r="AD26" s="74"/>
      <c r="AE26" s="74"/>
      <c r="AF26" s="74"/>
      <c r="AG26" s="74"/>
      <c r="AH26" s="74"/>
      <c r="AI26" s="211"/>
      <c r="AJ26" s="622">
        <v>0</v>
      </c>
      <c r="AK26" s="74"/>
      <c r="AL26" s="74"/>
      <c r="AM26" s="74"/>
      <c r="AN26" s="74"/>
      <c r="AO26" s="231"/>
      <c r="AP26" s="225"/>
      <c r="AQ26" s="468"/>
      <c r="AR26" s="74"/>
      <c r="AS26" s="74"/>
      <c r="AT26" s="299"/>
    </row>
    <row r="27" spans="1:52" ht="18" customHeight="1">
      <c r="A27" s="212"/>
      <c r="B27" s="624" t="str">
        <f>'Translate&amp;Prices&amp;Logo'!$B$550</f>
        <v>Handle position</v>
      </c>
      <c r="C27" s="625"/>
      <c r="D27" s="625"/>
      <c r="E27" s="625"/>
      <c r="F27" s="625"/>
      <c r="G27" s="249"/>
      <c r="H27" s="605"/>
      <c r="I27" s="605"/>
      <c r="J27" s="605"/>
      <c r="K27" s="605"/>
      <c r="L27" s="605"/>
      <c r="M27" s="605"/>
      <c r="N27" s="605"/>
      <c r="O27" s="605"/>
      <c r="P27" s="605"/>
      <c r="Q27" s="606"/>
      <c r="R27" s="212"/>
      <c r="S27" s="668"/>
      <c r="T27" s="669"/>
      <c r="U27" s="669"/>
      <c r="V27" s="669"/>
      <c r="W27" s="669"/>
      <c r="X27" s="669"/>
      <c r="Y27" s="670"/>
      <c r="Z27" s="231"/>
      <c r="AA27" s="219"/>
      <c r="AB27" s="235"/>
      <c r="AC27" s="236"/>
      <c r="AD27" s="236"/>
      <c r="AE27" s="236"/>
      <c r="AF27" s="236"/>
      <c r="AG27" s="236"/>
      <c r="AH27" s="237"/>
      <c r="AI27" s="238"/>
      <c r="AJ27" s="622"/>
      <c r="AK27" s="236"/>
      <c r="AL27" s="236"/>
      <c r="AM27" s="236"/>
      <c r="AN27" s="236"/>
      <c r="AO27" s="239"/>
      <c r="AP27" s="225"/>
      <c r="AQ27" s="468"/>
      <c r="AR27" s="74"/>
      <c r="AS27" s="74"/>
      <c r="AT27" s="299"/>
    </row>
    <row r="28" spans="1:52" ht="18" customHeight="1">
      <c r="A28" s="212"/>
      <c r="B28" s="682" t="str">
        <f>('Translate&amp;Prices&amp;Logo'!$B$174)</f>
        <v>Quantity</v>
      </c>
      <c r="C28" s="683"/>
      <c r="D28" s="683"/>
      <c r="E28" s="683"/>
      <c r="F28" s="683"/>
      <c r="G28" s="249"/>
      <c r="H28" s="642"/>
      <c r="I28" s="642"/>
      <c r="J28" s="642"/>
      <c r="K28" s="642"/>
      <c r="L28" s="642"/>
      <c r="M28" s="642"/>
      <c r="N28" s="642"/>
      <c r="O28" s="642"/>
      <c r="P28" s="642"/>
      <c r="Q28" s="643"/>
      <c r="R28" s="212"/>
      <c r="S28" s="668"/>
      <c r="T28" s="669"/>
      <c r="U28" s="669"/>
      <c r="V28" s="669"/>
      <c r="W28" s="669"/>
      <c r="X28" s="669"/>
      <c r="Y28" s="670"/>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690" t="str">
        <f>IF(Hlavní!$V$39=3,"",'Translate&amp;Prices&amp;Logo'!$B$225&amp;" -&gt; "&amp; 'Translate&amp;Prices&amp;Logo'!B241&amp;":")</f>
        <v>Supply including specified fittings -&gt; select from list:</v>
      </c>
      <c r="E29" s="690"/>
      <c r="F29" s="690"/>
      <c r="G29" s="690"/>
      <c r="H29" s="690"/>
      <c r="I29" s="690"/>
      <c r="J29" s="690"/>
      <c r="K29" s="690"/>
      <c r="L29" s="690"/>
      <c r="M29" s="690"/>
      <c r="N29" s="690"/>
      <c r="O29" s="690"/>
      <c r="P29" s="688"/>
      <c r="Q29" s="689"/>
      <c r="R29" s="212"/>
      <c r="S29" s="668"/>
      <c r="T29" s="669"/>
      <c r="U29" s="669"/>
      <c r="V29" s="669"/>
      <c r="W29" s="669"/>
      <c r="X29" s="669"/>
      <c r="Y29" s="670"/>
      <c r="Z29" s="74"/>
      <c r="AA29" s="265" t="e">
        <f>VLOOKUP(H14,kombinace_5!$DN$7:$DO$24,2,0)</f>
        <v>#N/A</v>
      </c>
      <c r="AB29" s="659">
        <f>IF(kombinace_5!FC2=TRUE,AB4,IF(H12='závěsy dle výklopu'!BQ2,'Translate&amp;Prices&amp;Logo'!B577,0))</f>
        <v>0</v>
      </c>
      <c r="AC29" s="659"/>
      <c r="AD29" s="659"/>
      <c r="AE29" s="659"/>
      <c r="AF29" s="659"/>
      <c r="AG29" s="659"/>
      <c r="AH29" s="659"/>
      <c r="AI29" s="659"/>
      <c r="AJ29" s="659"/>
      <c r="AK29" s="659"/>
      <c r="AL29" s="659"/>
      <c r="AM29" s="659"/>
      <c r="AN29" s="659"/>
      <c r="AO29" s="659"/>
      <c r="AP29" s="265"/>
      <c r="AQ29" s="74"/>
      <c r="AR29" s="74"/>
      <c r="AS29" s="74"/>
      <c r="AT29" s="299"/>
    </row>
    <row r="30" spans="1:52" ht="23.25" customHeight="1">
      <c r="A30" s="212"/>
      <c r="B30" s="678" t="str">
        <f>'Translate&amp;Prices&amp;Logo'!$B$178</f>
        <v>Total price of frames</v>
      </c>
      <c r="C30" s="679"/>
      <c r="D30" s="679"/>
      <c r="E30" s="679"/>
      <c r="F30" s="679"/>
      <c r="G30" s="679"/>
      <c r="H30" s="679"/>
      <c r="I30" s="679"/>
      <c r="J30" s="679"/>
      <c r="K30" s="553"/>
      <c r="L30" s="654">
        <f>IF(OR((AI30&gt;AI43),(AR14&gt;AJ43)),"",((((AT11+AT13+AT15+AT17+AT33+AT35+AT37)*AT43)*(1-(Zakaznik!K21/100)))*AW24))</f>
        <v>0</v>
      </c>
      <c r="M30" s="654"/>
      <c r="N30" s="654"/>
      <c r="O30" s="654"/>
      <c r="P30" s="674" t="str">
        <f>VLOOKUP('Translate&amp;Prices&amp;Logo'!D1,'závěsy dle výklopu'!A204:B209,2,0)</f>
        <v>€</v>
      </c>
      <c r="Q30" s="675"/>
      <c r="R30" s="212"/>
      <c r="S30" s="668"/>
      <c r="T30" s="669"/>
      <c r="U30" s="669"/>
      <c r="V30" s="669"/>
      <c r="W30" s="669"/>
      <c r="X30" s="669"/>
      <c r="Y30" s="670"/>
      <c r="Z30" s="74"/>
      <c r="AA30" s="74"/>
      <c r="AB30" s="212"/>
      <c r="AC30" s="74"/>
      <c r="AD30" s="74"/>
      <c r="AE30" s="74"/>
      <c r="AF30" s="658" t="str">
        <f>'Translate&amp;Prices&amp;Logo'!$B$175</f>
        <v>Width</v>
      </c>
      <c r="AG30" s="658"/>
      <c r="AH30" s="658"/>
      <c r="AI30" s="653"/>
      <c r="AJ30" s="653"/>
      <c r="AK30" s="653"/>
      <c r="AL30" s="74"/>
      <c r="AM30" s="74"/>
      <c r="AN30" s="74"/>
      <c r="AO30" s="74"/>
      <c r="AP30" s="74"/>
      <c r="AQ30" s="74"/>
      <c r="AR30" s="74"/>
      <c r="AS30" s="74"/>
      <c r="AT30" s="299"/>
      <c r="AU30" s="291" t="e">
        <f>HLOOKUP("_Úzký_dolny_K12",kombinace_5!CV2:CW19,3,FALSE)</f>
        <v>#N/A</v>
      </c>
    </row>
    <row r="31" spans="1:52" ht="14.1" customHeight="1" thickBot="1">
      <c r="A31" s="212"/>
      <c r="B31" s="680"/>
      <c r="C31" s="681"/>
      <c r="D31" s="681"/>
      <c r="E31" s="681"/>
      <c r="F31" s="681"/>
      <c r="G31" s="681"/>
      <c r="H31" s="681"/>
      <c r="I31" s="681"/>
      <c r="J31" s="681"/>
      <c r="K31" s="684"/>
      <c r="L31" s="655"/>
      <c r="M31" s="655"/>
      <c r="N31" s="655"/>
      <c r="O31" s="655"/>
      <c r="P31" s="676"/>
      <c r="Q31" s="677"/>
      <c r="R31" s="212"/>
      <c r="S31" s="671"/>
      <c r="T31" s="672"/>
      <c r="U31" s="672"/>
      <c r="V31" s="672"/>
      <c r="W31" s="672"/>
      <c r="X31" s="672"/>
      <c r="Y31" s="673"/>
      <c r="Z31" s="74"/>
      <c r="AA31" s="254"/>
      <c r="AB31" s="245"/>
      <c r="AC31" s="245"/>
      <c r="AD31" s="254"/>
      <c r="AE31" s="254"/>
      <c r="AF31" s="254"/>
      <c r="AG31" s="254"/>
      <c r="AH31" s="254"/>
      <c r="AI31" s="439"/>
      <c r="AJ31" s="254"/>
      <c r="AK31" s="254"/>
      <c r="AL31" s="254"/>
      <c r="AM31" s="254"/>
      <c r="AN31" s="254"/>
      <c r="AO31" s="599" t="str">
        <f>'Translate&amp;Prices&amp;Logo'!$B$567</f>
        <v>Summary</v>
      </c>
      <c r="AP31" s="599"/>
      <c r="AQ31" s="599"/>
      <c r="AR31" s="599"/>
      <c r="AS31" s="74"/>
      <c r="AT31" s="299"/>
      <c r="AU31" s="291" t="str">
        <f>AD44</f>
        <v>_Široký_</v>
      </c>
    </row>
    <row r="32" spans="1:52" ht="17.25" customHeight="1">
      <c r="A32" s="212"/>
      <c r="B32" s="641" t="str">
        <f>'Translate&amp;Prices&amp;Logo'!$B$171</f>
        <v>Prices shown are VAT-free and do not include price of the fittings required!</v>
      </c>
      <c r="C32" s="641"/>
      <c r="D32" s="641"/>
      <c r="E32" s="641"/>
      <c r="F32" s="641"/>
      <c r="G32" s="641"/>
      <c r="H32" s="641"/>
      <c r="I32" s="641"/>
      <c r="J32" s="641"/>
      <c r="K32" s="641"/>
      <c r="L32" s="641"/>
      <c r="M32" s="641"/>
      <c r="N32" s="641"/>
      <c r="O32" s="641"/>
      <c r="P32" s="641"/>
      <c r="Q32" s="641"/>
      <c r="R32" s="212"/>
      <c r="S32" s="74"/>
      <c r="T32" s="74"/>
      <c r="U32" s="74"/>
      <c r="V32" s="74"/>
      <c r="W32" s="74"/>
      <c r="X32" s="74"/>
      <c r="Y32" s="74"/>
      <c r="Z32" s="74"/>
      <c r="AA32" s="74"/>
      <c r="AB32" s="212"/>
      <c r="AC32" s="74"/>
      <c r="AD32" s="74"/>
      <c r="AE32" s="74"/>
      <c r="AF32" s="74"/>
      <c r="AG32" s="74"/>
      <c r="AH32" s="74"/>
      <c r="AI32" s="74"/>
      <c r="AJ32" s="74"/>
      <c r="AK32" s="74"/>
      <c r="AL32" s="74"/>
      <c r="AM32" s="74"/>
      <c r="AN32" s="74"/>
      <c r="AO32" s="599"/>
      <c r="AP32" s="599"/>
      <c r="AQ32" s="599"/>
      <c r="AR32" s="599"/>
      <c r="AS32" s="212"/>
      <c r="AT32" s="299"/>
    </row>
    <row r="33" spans="1:58" ht="34.5" customHeight="1">
      <c r="A33" s="212"/>
      <c r="B33" s="664" t="str">
        <f>'Translate&amp;Prices&amp;Logo'!$B$641</f>
        <v>Frames without glass are delivered disassembled.</v>
      </c>
      <c r="C33" s="664"/>
      <c r="D33" s="664"/>
      <c r="E33" s="664"/>
      <c r="F33" s="664"/>
      <c r="G33" s="664"/>
      <c r="H33" s="664"/>
      <c r="I33" s="664"/>
      <c r="J33" s="664"/>
      <c r="K33" s="664"/>
      <c r="L33" s="664" t="str">
        <f>IF(OR((AI30&gt;AI43),(AR14&gt;AJ43)),'Translate&amp;Prices&amp;Logo'!B691,"")</f>
        <v/>
      </c>
      <c r="M33" s="664"/>
      <c r="N33" s="664"/>
      <c r="O33" s="664"/>
      <c r="P33" s="664"/>
      <c r="Q33" s="664"/>
      <c r="R33" s="664"/>
      <c r="S33" s="664"/>
      <c r="T33" s="408"/>
      <c r="U33" s="408"/>
      <c r="V33" s="408"/>
      <c r="W33" s="408"/>
      <c r="X33" s="408"/>
      <c r="Y33" s="408"/>
      <c r="Z33" s="408"/>
      <c r="AA33" s="408"/>
      <c r="AB33" s="408"/>
      <c r="AC33" s="408"/>
      <c r="AD33" s="74"/>
      <c r="AE33" s="74"/>
      <c r="AF33" s="301"/>
      <c r="AG33" s="74"/>
      <c r="AJ33" s="74"/>
      <c r="AK33" s="74"/>
      <c r="AL33" s="74"/>
      <c r="AM33" s="74"/>
      <c r="AN33" s="74"/>
      <c r="AO33" s="74"/>
      <c r="AP33" s="74"/>
      <c r="AQ33" s="74"/>
      <c r="AR33" s="74"/>
      <c r="AS33" s="212"/>
      <c r="AT33" s="299">
        <f>IF(kombinace_5!V1=2,((AR14/1000)*(AI30/1000))*'Translate&amp;Prices&amp;Logo'!C94,0)</f>
        <v>0</v>
      </c>
    </row>
    <row r="34" spans="1:58" s="301" customFormat="1" ht="36.75" customHeight="1">
      <c r="A34" s="302"/>
      <c r="B34" s="664"/>
      <c r="C34" s="664"/>
      <c r="D34" s="664"/>
      <c r="E34" s="664"/>
      <c r="F34" s="664"/>
      <c r="G34" s="664"/>
      <c r="H34" s="664"/>
      <c r="I34" s="664"/>
      <c r="J34" s="664"/>
      <c r="K34" s="664"/>
      <c r="L34" s="664"/>
      <c r="M34" s="664"/>
      <c r="N34" s="664"/>
      <c r="O34" s="664"/>
      <c r="P34" s="664"/>
      <c r="Q34" s="664"/>
      <c r="R34" s="664"/>
      <c r="S34" s="664"/>
      <c r="V34" s="687"/>
      <c r="W34" s="687"/>
      <c r="AS34" s="300"/>
      <c r="AT34" s="300"/>
      <c r="AW34" s="408"/>
      <c r="AX34" s="408"/>
      <c r="AY34" s="408"/>
      <c r="AZ34" s="408"/>
      <c r="BA34" s="408"/>
      <c r="BB34" s="408"/>
      <c r="BC34" s="408"/>
      <c r="BD34" s="408"/>
      <c r="BE34" s="408"/>
      <c r="BF34" s="408"/>
    </row>
    <row r="35" spans="1:58" ht="15" hidden="1" customHeight="1">
      <c r="B35" s="264"/>
      <c r="R35" s="293"/>
      <c r="S35" s="293"/>
      <c r="T35" s="302"/>
      <c r="AD35" s="264"/>
      <c r="AE35" s="264"/>
      <c r="AN35" s="301"/>
      <c r="AO35" s="301"/>
      <c r="AP35" s="301"/>
      <c r="AQ35" s="301"/>
      <c r="AS35" s="299"/>
      <c r="AT35" s="299">
        <f>IF(kombinace_5!$V$1=3,IFERROR(((VLOOKUP(H24,'Translate&amp;Prices&amp;Logo'!B91:C93,2,0))*(AR14/1000)),0),0)</f>
        <v>0</v>
      </c>
      <c r="AV35" s="431" t="s">
        <v>4597</v>
      </c>
      <c r="AW35" s="432"/>
      <c r="AX35" s="432"/>
      <c r="AY35" s="408"/>
    </row>
    <row r="36" spans="1:58" s="310" customFormat="1" ht="18.600000000000001" hidden="1" customHeight="1">
      <c r="A36" s="302"/>
      <c r="B36" s="310" t="str" cm="1">
        <f t="array" ref="B36:B91">IF(kombinace_5!FC2=TRUE,_profily_síťka,IF(kombinace_5!H1=TRUE,_kombinovane_profily,_vše_profily))</f>
        <v>BRW (elox.) - maximum profile length 2500 mm</v>
      </c>
      <c r="L36" s="310" t="str">
        <f t="array" ref="L36:M36">IF(kombinace_5!H1=TRUE,'závěsy dle výklopu'!$BQ$2:$BR$2,
IF(H8=kombinace_5!A34,'závěsy dle výklopu'!$BQ$2,IF(H8=kombinace_5!A35,'závěsy dle výklopu'!$BQ$2,IF(H8=kombinace_5!A55,'závěsy dle výklopu'!$BQ$2,IF(H8=kombinace_5!A56,'závěsy dle výklopu'!$BQ$2,IF(H8=kombinace_5!A57,'závěsy dle výklopu'!$BQ$2,IF(H8=kombinace_5!A58,'závěsy dle výklopu'!$BQ$2,'závěsy dle výklopu'!$BQ$2:$BR$2)))))))</f>
        <v>Hinges</v>
      </c>
      <c r="M36" s="310" t="str">
        <v>Hinges</v>
      </c>
      <c r="P36" s="310" t="str" cm="1">
        <f t="array" ref="P36:P38">IF(H13=kombinace_5!BQ11,kombinace_5!$DN$2,kombinace_5!$DN$2:$DN$4)</f>
        <v>Overlay</v>
      </c>
      <c r="T36" s="310">
        <f t="array" aca="1" ref="T36:T44" ca="1">IF(H13=kombinace_5!BQ11,
  kombinace_5!$FA$2:$FA$9,
  IF(AND(OR(H8=kombinace_5!A34,H8=kombinace_5!A35),H13='závěsy dle výklopu'!BQ4),
    INDIRECT(VLOOKUP(AD42&amp;"_Rocca",kombinace_5!$ER$1:$ES$108,2,0)),
    IF($AU$9=2,
      INDIRECT(VLOOKUP(AD42,kombinace_5!$ER$1:$ES$108,2,0)),
      IF($AU$9=3,
        INDIRECT(VLOOKUP($T$47,kombinace_5!$AA$1:$AB$100,2,0)),
      $Y$48)
    )
  )
)</f>
        <v>0</v>
      </c>
      <c r="AF36" s="310" t="e">
        <f>HLOOKUP($AD$44,'závěsy dle výklopu'!$CG$4:$EZ$10,2,0)</f>
        <v>#N/A</v>
      </c>
      <c r="AJ36" s="310">
        <f t="array" ref="AJ36:AJ40">IF(AM19&lt;2100,kombinace_5!BY8:BY12,kombinace_5!BY8:BY12)</f>
        <v>2</v>
      </c>
      <c r="AW36" s="408"/>
      <c r="AX36" s="408"/>
      <c r="AY36" s="408"/>
    </row>
    <row r="37" spans="1:58" s="310" customFormat="1" ht="15" hidden="1" customHeight="1">
      <c r="A37" s="293"/>
      <c r="B37" s="310" t="str">
        <v>BRW white matt RAL 9003 - maximum profile length 2500 mm</v>
      </c>
      <c r="P37" s="310" t="str">
        <v>Half-overlay</v>
      </c>
      <c r="T37" s="310">
        <f ca="1"/>
        <v>0</v>
      </c>
      <c r="W37" s="310" t="str" cm="1">
        <f t="array" ref="W37:W38">IF(Hlavní!$V$39=3,"",'Translate&amp;Prices&amp;Logo'!B556:B557)</f>
        <v>Yes</v>
      </c>
      <c r="AD37" s="311"/>
      <c r="AF37" s="310" t="e">
        <f>HLOOKUP($AD$44,'závěsy dle výklopu'!$CG$4:$EZ$10,3,0)</f>
        <v>#N/A</v>
      </c>
      <c r="AJ37" s="310">
        <v>3</v>
      </c>
      <c r="AS37" s="310" t="s">
        <v>5</v>
      </c>
      <c r="AT37" s="310">
        <f>IFERROR((VLOOKUP(H25,'Translate&amp;Prices&amp;Logo'!B99:C167,2,0))*((AI30/1000)*(AR14/1000)),0)</f>
        <v>0</v>
      </c>
      <c r="AW37" s="408"/>
      <c r="AX37" s="408"/>
      <c r="AY37" s="408"/>
    </row>
    <row r="38" spans="1:58" s="310" customFormat="1" ht="18.600000000000001" hidden="1" customHeight="1">
      <c r="A38" s="293"/>
      <c r="B38" s="310" t="str">
        <v>BRW white gloss RAL 9003 - maximum profile length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str">
        <v>Inset</v>
      </c>
      <c r="T38" s="310">
        <f ca="1"/>
        <v>0</v>
      </c>
      <c r="W38" s="310" t="str">
        <v>No</v>
      </c>
      <c r="AD38" s="311"/>
      <c r="AE38" s="310" t="e">
        <f t="shared" ref="AE38:AE40" si="0">AF38</f>
        <v>#N/A</v>
      </c>
      <c r="AF38" s="310" t="e">
        <f>HLOOKUP($AD$44,'závěsy dle výklopu'!$CG$4:$EZ$10,4,0)</f>
        <v>#N/A</v>
      </c>
      <c r="AJ38" s="310">
        <v>4</v>
      </c>
      <c r="AW38" s="408"/>
      <c r="AX38" s="408"/>
      <c r="AY38" s="408"/>
    </row>
    <row r="39" spans="1:58" s="310" customFormat="1" ht="15" hidden="1" customHeight="1">
      <c r="A39" s="293"/>
      <c r="B39" s="310" t="str">
        <v>BRW brushed - maximum profile length 2500 mm</v>
      </c>
      <c r="L39" s="310" t="str">
        <v>ITALIANA ferramenta</v>
      </c>
      <c r="T39" s="310">
        <f ca="1"/>
        <v>0</v>
      </c>
      <c r="AD39" s="311"/>
      <c r="AE39" s="310" t="e">
        <f t="shared" si="0"/>
        <v>#N/A</v>
      </c>
      <c r="AF39" s="310" t="e">
        <f>HLOOKUP($AD$44,'závěsy dle výklopu'!$CG$4:$EZ$10,5,0)</f>
        <v>#N/A</v>
      </c>
      <c r="AJ39" s="310">
        <v>5</v>
      </c>
      <c r="AS39" s="310" t="s">
        <v>2162</v>
      </c>
      <c r="AW39" s="408"/>
      <c r="AX39" s="408"/>
      <c r="AY39" s="408"/>
    </row>
    <row r="40" spans="1:58" s="310" customFormat="1" ht="18.600000000000001" hidden="1" customHeight="1">
      <c r="A40" s="293"/>
      <c r="B40" s="310" t="str">
        <v>BRW black matt - maximum profile length 2500 mm</v>
      </c>
      <c r="L40" s="310" t="str">
        <v>StrongLift</v>
      </c>
      <c r="T40" s="310">
        <f ca="1"/>
        <v>0</v>
      </c>
      <c r="AE40" s="310" t="e">
        <f t="shared" si="0"/>
        <v>#N/A</v>
      </c>
      <c r="AF40" s="310" t="e">
        <f>HLOOKUP($AD$44,'závěsy dle výklopu'!$CG$4:$EZ$10,6,0)</f>
        <v>#N/A</v>
      </c>
      <c r="AJ40" s="310">
        <v>6</v>
      </c>
      <c r="AW40" s="408"/>
      <c r="AX40" s="408"/>
      <c r="AY40" s="408"/>
    </row>
    <row r="41" spans="1:58" s="310" customFormat="1" ht="15" hidden="1" customHeight="1">
      <c r="A41" s="293"/>
      <c r="B41" s="310" t="str">
        <v>BRW black brushed - maximum profile length 2500 mm</v>
      </c>
      <c r="L41" s="310" t="str">
        <v xml:space="preserve">Kesseböhmer </v>
      </c>
      <c r="T41" s="310">
        <f ca="1"/>
        <v>0</v>
      </c>
      <c r="U41" s="310">
        <f>IF(Hlavní!$V$39=3,1,2)</f>
        <v>2</v>
      </c>
      <c r="AE41" s="310">
        <f>AF41</f>
        <v>0</v>
      </c>
      <c r="AH41" s="434"/>
      <c r="AI41" s="435" t="s">
        <v>4588</v>
      </c>
      <c r="AJ41" s="435" t="s">
        <v>4589</v>
      </c>
      <c r="AS41" s="310" t="s">
        <v>2163</v>
      </c>
      <c r="AW41" s="408"/>
      <c r="AX41" s="408"/>
      <c r="AY41" s="408"/>
    </row>
    <row r="42" spans="1:58" s="310" customFormat="1" ht="18.600000000000001" hidden="1" customHeight="1">
      <c r="A42" s="293"/>
      <c r="B42" s="310" t="str">
        <v>BRW Light Stainless Steel (ACIER GRATA) - maximum profile length 2500 mm</v>
      </c>
      <c r="L42" s="310" t="str">
        <v>Hettich</v>
      </c>
      <c r="T42" s="310">
        <f ca="1"/>
        <v>0</v>
      </c>
      <c r="AD42" s="310" t="e">
        <f>CONCATENATE("_",AV7,"_",H13,"_",AA29)</f>
        <v>#N/A</v>
      </c>
      <c r="AG42" s="433">
        <v>42</v>
      </c>
      <c r="AH42" s="434"/>
      <c r="AI42" s="436"/>
      <c r="AJ42" s="436"/>
      <c r="AW42" s="408"/>
      <c r="AX42" s="408"/>
      <c r="AY42" s="408"/>
    </row>
    <row r="43" spans="1:58" s="310" customFormat="1" ht="15" hidden="1" customHeight="1">
      <c r="A43" s="293"/>
      <c r="B43" s="310" t="str">
        <v>BRW anthracite RAL 7021 - maximum profile length 2500 mm</v>
      </c>
      <c r="T43" s="310">
        <f ca="1"/>
        <v>0</v>
      </c>
      <c r="AG43" s="433">
        <v>43</v>
      </c>
      <c r="AH43" s="434"/>
      <c r="AI43" s="437">
        <f>IF(H12='Translate&amp;Prices&amp;Logo'!B181,VLOOKUP(H8,'Translate&amp;Prices&amp;Logo'!B:V,21,0),AJ43)</f>
        <v>0</v>
      </c>
      <c r="AJ43" s="437">
        <f>VLOOKUP(H8,'Translate&amp;Prices&amp;Logo'!B:U,20,0)</f>
        <v>0</v>
      </c>
      <c r="AK43" s="310" t="s">
        <v>4587</v>
      </c>
      <c r="AS43" s="310" t="s">
        <v>2164</v>
      </c>
      <c r="AT43" s="310">
        <f>H28</f>
        <v>0</v>
      </c>
      <c r="AW43" s="408"/>
      <c r="AX43" s="408"/>
      <c r="AY43" s="408"/>
    </row>
    <row r="44" spans="1:58" s="310" customFormat="1" ht="18.600000000000001" hidden="1" customHeight="1">
      <c r="A44" s="293"/>
      <c r="B44" s="310" t="str">
        <v>BRW champagne - maximum profile length 2500 mm</v>
      </c>
      <c r="M44" s="310" t="s">
        <v>3532</v>
      </c>
      <c r="N44" s="310" t="s">
        <v>1981</v>
      </c>
      <c r="T44" s="310">
        <f ca="1"/>
        <v>0</v>
      </c>
      <c r="AD44" s="310" t="str">
        <f>CONCATENATE("_",AV7,"_",H15)</f>
        <v>_Široký_</v>
      </c>
      <c r="AG44" s="433">
        <v>44</v>
      </c>
      <c r="AH44" s="434"/>
      <c r="AI44" s="438"/>
      <c r="AJ44" s="438"/>
      <c r="AW44" s="408"/>
      <c r="AX44" s="408"/>
      <c r="AY44" s="408"/>
    </row>
    <row r="45" spans="1:58" s="310" customFormat="1" ht="14.85" hidden="1" customHeight="1">
      <c r="A45" s="293"/>
      <c r="B45" s="310" t="str">
        <v>BRW champagne light - maximum profile length 2500 mm</v>
      </c>
      <c r="M45" s="310" t="s">
        <v>3533</v>
      </c>
      <c r="N45" s="310" t="s">
        <v>1981</v>
      </c>
      <c r="AS45" s="286"/>
      <c r="AW45" s="408"/>
      <c r="AX45" s="408"/>
      <c r="AY45" s="408"/>
    </row>
    <row r="46" spans="1:58" s="310" customFormat="1" ht="14.85" hidden="1" customHeight="1">
      <c r="A46" s="293"/>
      <c r="B46" s="310" t="str">
        <v>BRW brown - maximum profile length 2500 mm</v>
      </c>
      <c r="M46" s="310" t="s">
        <v>5434</v>
      </c>
    </row>
    <row r="47" spans="1:58" s="310" customFormat="1" ht="14.85" hidden="1" customHeight="1">
      <c r="A47" s="293"/>
      <c r="B47" s="310" t="str">
        <v>BRW dark stainless steel - maximum profile length 2500 mm</v>
      </c>
      <c r="M47" s="310" t="s">
        <v>5435</v>
      </c>
      <c r="T47" s="310" t="str">
        <f>CONCATENATE(H13,"_",VLOOKUP(kombinace_5!H1,kombinace_5!$J$14:$K$15,2,0))</f>
        <v>_2</v>
      </c>
      <c r="AI47" s="264"/>
      <c r="AJ47" s="430"/>
      <c r="AN47" s="595"/>
      <c r="AO47" s="595"/>
      <c r="AP47" s="595"/>
      <c r="AQ47" s="595"/>
    </row>
    <row r="48" spans="1:58" s="310" customFormat="1" ht="14.85" hidden="1" customHeight="1">
      <c r="A48" s="293"/>
      <c r="B48" s="310" t="str">
        <v>BRW gold - maximum profile length 2500 mm</v>
      </c>
      <c r="T48" s="310" t="e">
        <f>VLOOKUP(AD42,kombinace_5!ER:ES,2,0)</f>
        <v>#N/A</v>
      </c>
      <c r="AS48"/>
      <c r="AT48"/>
    </row>
    <row r="49" spans="1:46" s="310" customFormat="1" ht="14.85" hidden="1" customHeight="1">
      <c r="A49" s="293"/>
      <c r="B49" s="310" t="str">
        <v>BRW arany csiszolt - maximum profile length 2500 mm</v>
      </c>
      <c r="AS49"/>
      <c r="AT49"/>
    </row>
    <row r="50" spans="1:46" s="310" customFormat="1" ht="14.85" hidden="1" customHeight="1">
      <c r="A50" s="293"/>
      <c r="B50" s="310" t="str">
        <v>Corleone (elox.) - maximum profile length 1500 mm</v>
      </c>
      <c r="AS50"/>
      <c r="AT50"/>
    </row>
    <row r="51" spans="1:46" s="310" customFormat="1" ht="14.85" hidden="1" customHeight="1">
      <c r="A51" s="293"/>
      <c r="B51" s="310" t="str">
        <v>Corleone black matt - maximum profile length 1500 mm</v>
      </c>
      <c r="AS51"/>
      <c r="AT51"/>
    </row>
    <row r="52" spans="1:46" s="310" customFormat="1" ht="14.85" hidden="1" customHeight="1">
      <c r="A52" s="293"/>
      <c r="B52" s="310" t="str">
        <v>ASTI black matt - maximum profile length 2150 mm</v>
      </c>
      <c r="AS52"/>
      <c r="AT52"/>
    </row>
    <row r="53" spans="1:46" s="310" customFormat="1" ht="14.85" hidden="1" customHeight="1">
      <c r="A53" s="293"/>
      <c r="B53" s="310" t="str">
        <v>ASTI anthracite RAL 7021 matt - maximum profile length 2500 mm</v>
      </c>
      <c r="AS53"/>
      <c r="AT53"/>
    </row>
    <row r="54" spans="1:46" s="310" customFormat="1" ht="14.85" hidden="1" customHeight="1">
      <c r="A54" s="293"/>
      <c r="B54" s="310" t="str">
        <v>Imola (elox.) - maximum profile length 2500 mm</v>
      </c>
      <c r="K54" s="310" t="str">
        <f t="array" ref="K54:K58">IF(OR($H$15=kombinace_5!AB40,$H$15=kombinace_5!AB7,$H$15=kombinace_5!AB15,$H$15=kombinace_5!AB20,$H$15=kombinace_5!AB21,$H$15=kombinace_5!AB22),'Translate&amp;Prices&amp;Logo'!$B$229:$B$231,IF($H$15=kombinace_5!AB41,'Translate&amp;Prices&amp;Logo'!$B$229:$B$231,'Translate&amp;Prices&amp;Logo'!$B$233:$B$237))</f>
        <v>Narrow ALU Frame</v>
      </c>
      <c r="Q54" s="310" t="str">
        <f>'Translate&amp;Prices&amp;Logo'!B227</f>
        <v>Top</v>
      </c>
      <c r="T54" s="310" t="str">
        <f t="array" ref="T54:T56">kombinace_5!$EN$3:$EN$5</f>
        <v>Not treated</v>
      </c>
      <c r="U54" s="310">
        <v>1</v>
      </c>
      <c r="X54" s="310" t="str">
        <f t="array" ref="X54:X56">kombinace_5!$X$3:$X$5</f>
        <v>Transparent</v>
      </c>
      <c r="AD54" s="310" t="str">
        <f t="array" aca="1" ref="AD54:AD97" ca="1">IF(kombinace_5!FC2=FALSE,
IF(OR(H8=kombinace_5!A17,H8=kombinace_5!A18,H8=kombinace_5!A25,H8=kombinace_5!A26,H8=kombinace_5!A27,H8=kombinace_5!A28),_corleone,INDIRECT(kombinace_5!S1)),
IF(kombinace_5!FC2=TRUE,INDIRECT(VLOOKUP(Ram_1!H8,'závěsy dle výklopu'!A81:B92,2,0)),0))</f>
        <v>Transparent</v>
      </c>
      <c r="AS54"/>
      <c r="AT54"/>
    </row>
    <row r="55" spans="1:46" s="310" customFormat="1" ht="14.85" hidden="1" customHeight="1">
      <c r="A55" s="293"/>
      <c r="B55" s="310" t="str">
        <v>Imola black matt - maximum profile length 2500 mm</v>
      </c>
      <c r="K55" s="310" t="str">
        <v>Wide ALU Frame</v>
      </c>
      <c r="Q55" s="310" t="str">
        <f>'Translate&amp;Prices&amp;Logo'!B228</f>
        <v>Bottom</v>
      </c>
      <c r="T55" s="310" t="str">
        <v>Harded (delivery is 4 weeks)</v>
      </c>
      <c r="U55" s="310">
        <v>2</v>
      </c>
      <c r="X55" s="310" t="str">
        <v>White</v>
      </c>
      <c r="AD55" s="310" t="str">
        <f ca="1"/>
        <v>Satinato</v>
      </c>
      <c r="AS55"/>
      <c r="AT55"/>
    </row>
    <row r="56" spans="1:46" s="310" customFormat="1" ht="14.85" hidden="1" customHeight="1">
      <c r="A56" s="293"/>
      <c r="B56" s="310" t="str">
        <v>Imola white matt RAL 9003 - maximum profile length 2500 mm</v>
      </c>
      <c r="K56" s="310" t="str">
        <v xml:space="preserve">MDF 16 mm </v>
      </c>
      <c r="Q56" s="310" t="str">
        <f>'Translate&amp;Prices&amp;Logo'!B229</f>
        <v>Right</v>
      </c>
      <c r="T56" s="310" t="str">
        <v>Foil</v>
      </c>
      <c r="U56" s="310">
        <v>3</v>
      </c>
      <c r="X56" s="310" t="str">
        <v>Black</v>
      </c>
      <c r="AD56" s="310" t="str">
        <f ca="1"/>
        <v>Satinato brown / Decormat Braz</v>
      </c>
    </row>
    <row r="57" spans="1:46" s="310" customFormat="1" ht="14.85" hidden="1" customHeight="1">
      <c r="A57" s="293"/>
      <c r="B57" s="310" t="str">
        <v>Imola gold - maximum profile length 2150 mm</v>
      </c>
      <c r="K57" s="310" t="str">
        <v xml:space="preserve">MDF 18 mm </v>
      </c>
      <c r="Q57" s="310" t="str">
        <f>'Translate&amp;Prices&amp;Logo'!B230</f>
        <v>Left</v>
      </c>
      <c r="AD57" s="310" t="str">
        <f ca="1"/>
        <v>Satinato graphite  / Decormat grafit</v>
      </c>
    </row>
    <row r="58" spans="1:46" s="310" customFormat="1" ht="14.85" hidden="1" customHeight="1">
      <c r="A58" s="293"/>
      <c r="B58" s="310" t="str">
        <v>Modena (elox.) - maximum profile length 2500 mm</v>
      </c>
      <c r="K58" s="310" t="str">
        <v>DTDL 18 mm</v>
      </c>
      <c r="AD58" s="310" t="str">
        <f ca="1"/>
        <v>MASTER SOFT</v>
      </c>
    </row>
    <row r="59" spans="1:46" s="310" customFormat="1" ht="14.85" hidden="1" customHeight="1">
      <c r="A59" s="293"/>
      <c r="B59" s="310" t="str">
        <v>Modena black matt - maximum profile length 2500 mm</v>
      </c>
      <c r="T59" s="310">
        <f>IFERROR(VLOOKUP($H$21,$T$54:$U$56,2,0),0)</f>
        <v>0</v>
      </c>
      <c r="AD59" s="310" t="str">
        <f ca="1"/>
        <v>MASTER FLEX</v>
      </c>
    </row>
    <row r="60" spans="1:46" s="310" customFormat="1" ht="14.85" hidden="1" customHeight="1">
      <c r="A60" s="293"/>
      <c r="B60" s="310" t="str">
        <v>black black brushed - maximum profile length 2500 mm</v>
      </c>
      <c r="K60" s="310" t="b">
        <f>K56=K61</f>
        <v>0</v>
      </c>
      <c r="AD60" s="310" t="str">
        <f ca="1"/>
        <v>Master (Carre)</v>
      </c>
    </row>
    <row r="61" spans="1:46" s="310" customFormat="1" ht="14.85" hidden="1" customHeight="1">
      <c r="A61" s="293"/>
      <c r="B61" s="310" t="str">
        <v>Modena dark stainless steel brushed - maximum profile length 2500 mm</v>
      </c>
      <c r="H61" s="310" t="str">
        <f>'Translate&amp;Prices&amp;Logo'!$B$186</f>
        <v>Bottom door</v>
      </c>
      <c r="K61" s="310" t="str">
        <f>'Translate&amp;Prices&amp;Logo'!$B$231</f>
        <v>2 Pieces (both sides)</v>
      </c>
      <c r="AD61" s="310" t="str">
        <f ca="1"/>
        <v>Master  Ligne horizontal</v>
      </c>
    </row>
    <row r="62" spans="1:46" s="310" customFormat="1" ht="14.85" hidden="1" customHeight="1">
      <c r="A62" s="293"/>
      <c r="B62" s="310" t="str">
        <v>Pisa (elox.) - maximum profile length 2500 mm</v>
      </c>
      <c r="AD62" s="310" t="str">
        <f ca="1"/>
        <v>Master  Ligne vertical</v>
      </c>
    </row>
    <row r="63" spans="1:46" s="310" customFormat="1" ht="14.85" hidden="1" customHeight="1">
      <c r="A63" s="293"/>
      <c r="B63" s="310" t="str">
        <v>Pisa white matt RAL 9003 - maximum profile length 2500 mm</v>
      </c>
      <c r="AD63" s="310" t="str">
        <f ca="1"/>
        <v>Master Point</v>
      </c>
    </row>
    <row r="64" spans="1:46" s="310" customFormat="1" ht="14.85" hidden="1" customHeight="1">
      <c r="A64" s="293"/>
      <c r="B64" s="310" t="str">
        <v>Pisa white gloss RAL 9003 - maximum profile length 2500 mm</v>
      </c>
      <c r="AD64" s="310" t="str">
        <f ca="1"/>
        <v>Masterscreen - maximum possible size 2160 x 1650 mm</v>
      </c>
    </row>
    <row r="65" spans="1:30" s="310" customFormat="1" ht="14.85" hidden="1" customHeight="1">
      <c r="A65" s="293"/>
      <c r="B65" s="310" t="str">
        <v>Pisa black matt - maximum profile length 2500 mm</v>
      </c>
      <c r="H65" s="167" t="str">
        <f>'rozpad závěsů bez prázdn. řádků'!$K$1</f>
        <v>cross screw</v>
      </c>
      <c r="I65" s="312">
        <v>6</v>
      </c>
      <c r="J65" s="166" t="e">
        <f>VLOOKUP($H$15,'rozpad závěsů bez prázdn. řádků'!$G$2:$X$66,I65,0)</f>
        <v>#N/A</v>
      </c>
      <c r="O65" s="310" t="str">
        <f t="array" ref="O65:O71">IF($H$15=kombinace_5!$AB$40,_strong_vzpera_horni,IF($H$15=kombinace_5!$AB$41,_stronglift_klopna,IF($H$12='závěsy dle výklopu'!$BQ$2,$J$65:$J$71,'Translate&amp;Prices&amp;Logo'!$B$185:$B$186)))</f>
        <v>Top door</v>
      </c>
      <c r="AD65" s="310" t="str">
        <f ca="1"/>
        <v>Venus VG10</v>
      </c>
    </row>
    <row r="66" spans="1:30" s="310" customFormat="1" ht="14.85" hidden="1" customHeight="1">
      <c r="A66" s="293"/>
      <c r="B66" s="310" t="str">
        <v>Pisa gold - maximum profile length 2150 mm</v>
      </c>
      <c r="H66" s="167" t="str">
        <f>'rozpad závěsů bez prázdn. řádků'!$M$1</f>
        <v>on screw (w/ cam adjust)</v>
      </c>
      <c r="I66" s="312">
        <v>8</v>
      </c>
      <c r="J66" s="166" t="e">
        <f>VLOOKUP($H$15,'rozpad závěsů bez prázdn. řádků'!$G$2:$X$66,I66,0)</f>
        <v>#N/A</v>
      </c>
      <c r="O66" s="310" t="str">
        <v>Bottom door</v>
      </c>
      <c r="AD66" s="310" t="str">
        <f ca="1"/>
        <v>Stopsol bronze  - maximum possible size 2250 x 1605 mm</v>
      </c>
    </row>
    <row r="67" spans="1:30" s="310" customFormat="1" ht="14.85" hidden="1" customHeight="1">
      <c r="A67" s="293"/>
      <c r="B67" s="310" t="str">
        <v>Rocca (elox.) - maximum profile length 2150 mm</v>
      </c>
      <c r="H67" s="167" t="str">
        <f>'rozpad závěsů bez prázdn. řádků'!$O$1</f>
        <v>euroscrew</v>
      </c>
      <c r="I67" s="312">
        <v>10</v>
      </c>
      <c r="J67" s="166" t="e">
        <f>VLOOKUP($H$15,'rozpad závěsů bez prázdn. řádků'!$G$2:$X$66,I67,0)</f>
        <v>#N/A</v>
      </c>
      <c r="O67" s="310" t="e">
        <v>#N/A</v>
      </c>
      <c r="AD67" s="310" t="str">
        <f ca="1"/>
        <v>Antisol bronze</v>
      </c>
    </row>
    <row r="68" spans="1:30" s="310" customFormat="1" ht="14.85" hidden="1" customHeight="1">
      <c r="A68" s="293"/>
      <c r="B68" s="310" t="str">
        <v>Rocca black matt - maximum profile length 2150 mm</v>
      </c>
      <c r="H68" s="167" t="str">
        <f>'rozpad závěsů bez prázdn. řádků'!$Q$1</f>
        <v>expando</v>
      </c>
      <c r="I68" s="312">
        <v>12</v>
      </c>
      <c r="J68" s="166" t="e">
        <f>VLOOKUP($H$15,'rozpad závěsů bez prázdn. řádků'!$G$2:$X$66,I68,0)</f>
        <v>#N/A</v>
      </c>
      <c r="O68" s="310" t="e">
        <v>#N/A</v>
      </c>
      <c r="AD68" s="310" t="str">
        <f ca="1"/>
        <v>Antisol graphite</v>
      </c>
    </row>
    <row r="69" spans="1:30" s="310" customFormat="1" ht="14.85" hidden="1" customHeight="1">
      <c r="A69" s="293"/>
      <c r="B69" s="310" t="str">
        <v>Verona (elox.) - maximum profile length 2500 mm</v>
      </c>
      <c r="H69" s="167" t="str">
        <f>'rozpad závěsů bez prázdn. řádků'!$S$1</f>
        <v>direct screw</v>
      </c>
      <c r="I69" s="312">
        <v>14</v>
      </c>
      <c r="J69" s="166" t="e">
        <f>VLOOKUP($H$15,'rozpad závěsů bez prázdn. řádků'!$G$2:$X$66,I69,0)</f>
        <v>#N/A</v>
      </c>
      <c r="O69" s="310" t="e">
        <v>#N/A</v>
      </c>
      <c r="AD69" s="310" t="str">
        <f ca="1"/>
        <v>Mirror</v>
      </c>
    </row>
    <row r="70" spans="1:30" s="310" customFormat="1" ht="14.85" hidden="1" customHeight="1">
      <c r="A70" s="293"/>
      <c r="B70" s="310" t="str">
        <v>Verona brushed aluminium - maximum profile length 2500 mm</v>
      </c>
      <c r="H70" s="167" t="str">
        <f>'rozpad závěsů bez prázdn. řádků'!$U$1</f>
        <v>direct euroscrew</v>
      </c>
      <c r="I70" s="312">
        <v>16</v>
      </c>
      <c r="J70" s="166" t="e">
        <f>VLOOKUP($H$15,'rozpad závěsů bez prázdn. řádků'!$G$2:$X$66,I70,0)</f>
        <v>#N/A</v>
      </c>
      <c r="O70" s="310" t="e">
        <v>#N/A</v>
      </c>
      <c r="AD70" s="310" t="str">
        <f ca="1"/>
        <v>Mirror brown</v>
      </c>
    </row>
    <row r="71" spans="1:30" s="310" customFormat="1" ht="14.85" hidden="1" customHeight="1">
      <c r="A71" s="293"/>
      <c r="B71" s="310" t="str">
        <v>Verona black matt - maximum profile length 2500 mm</v>
      </c>
      <c r="H71" s="167" t="str">
        <f>'rozpad závěsů bez prázdn. řádků'!$W$1</f>
        <v>direct expando</v>
      </c>
      <c r="I71" s="312">
        <v>18</v>
      </c>
      <c r="J71" s="166" t="e">
        <f>VLOOKUP($H$15,'rozpad závěsů bez prázdn. řádků'!$G$2:$X$66,I71,0)</f>
        <v>#N/A</v>
      </c>
      <c r="O71" s="310" t="e">
        <v>#N/A</v>
      </c>
      <c r="AD71" s="310" t="str">
        <f ca="1"/>
        <v>Mirror black</v>
      </c>
    </row>
    <row r="72" spans="1:30" s="310" customFormat="1" ht="14.85" hidden="1" customHeight="1">
      <c r="A72" s="293"/>
      <c r="B72" s="310" t="str">
        <v>Verona black gloss - maximum profile length 2500 mm</v>
      </c>
      <c r="AD72" s="310" t="str">
        <f ca="1"/>
        <v>VISIOSUN horizont</v>
      </c>
    </row>
    <row r="73" spans="1:30" s="310" customFormat="1" ht="14.85" hidden="1" customHeight="1">
      <c r="A73" s="293"/>
      <c r="B73" s="310" t="str">
        <v>Verona brown - maximum profile length 2500 mm</v>
      </c>
      <c r="AD73" s="310" t="str">
        <f ca="1"/>
        <v>VISIOSUN vertical</v>
      </c>
    </row>
    <row r="74" spans="1:30" s="310" customFormat="1" ht="14.85" hidden="1" customHeight="1">
      <c r="A74" s="293"/>
      <c r="B74" s="310" t="str">
        <v>Verona champagne - maximum profile length 2500 mm</v>
      </c>
      <c r="AD74" s="310" t="str">
        <f ca="1"/>
        <v>VISIOSUN sateen horizont</v>
      </c>
    </row>
    <row r="75" spans="1:30" s="310" customFormat="1" ht="14.85" hidden="1" customHeight="1">
      <c r="A75" s="293"/>
      <c r="B75" s="310" t="str">
        <v>Verona dark stainless steel brushed - maximum profile length 2500 mm</v>
      </c>
      <c r="AD75" s="310" t="str">
        <f ca="1"/>
        <v>VISIOSUN sateen vertical</v>
      </c>
    </row>
    <row r="76" spans="1:30" s="310" customFormat="1" ht="14.85" hidden="1" customHeight="1">
      <c r="A76" s="293"/>
      <c r="B76" s="310" t="str">
        <v>Verona light stainless steel (Acier grata) - maximum profile length 2500 mm</v>
      </c>
      <c r="AD76" s="310" t="str">
        <f ca="1"/>
        <v>Krizet  - maximum possible size 2130 x 1650 mm</v>
      </c>
    </row>
    <row r="77" spans="1:30" s="310" customFormat="1" ht="14.85" hidden="1" customHeight="1">
      <c r="A77" s="293"/>
      <c r="B77" s="310" t="str">
        <v>Verona gold - maximum profile length 2150 mm</v>
      </c>
      <c r="AD77" s="310" t="str">
        <f ca="1"/>
        <v>FLUTES vertical</v>
      </c>
    </row>
    <row r="78" spans="1:30" s="310" customFormat="1" ht="14.85" hidden="1" customHeight="1">
      <c r="A78" s="293"/>
      <c r="B78" s="310" t="str">
        <v>Verona gold brushed - maximum profile length 2150 mm</v>
      </c>
      <c r="AD78" s="310" t="str">
        <f ca="1"/>
        <v>FLUTES horizont</v>
      </c>
    </row>
    <row r="79" spans="1:30" s="310" customFormat="1" ht="14.85" hidden="1" customHeight="1">
      <c r="A79" s="293"/>
      <c r="B79" s="310" t="str">
        <v>Vivaro (elox.) - maximum profile length 2500 mm</v>
      </c>
      <c r="AD79" s="310" t="str">
        <f ca="1"/>
        <v>Lacomatt</v>
      </c>
    </row>
    <row r="80" spans="1:30" s="310" customFormat="1" ht="14.85" hidden="1" customHeight="1">
      <c r="A80" s="293"/>
      <c r="B80" s="310" t="str">
        <v>Vivaro black matt - maximum profile length 2500 mm</v>
      </c>
      <c r="AD80" s="310" t="str">
        <f ca="1"/>
        <v>Lacobel RAL 1013</v>
      </c>
    </row>
    <row r="81" spans="1:38" s="310" customFormat="1" ht="14.85" hidden="1" customHeight="1">
      <c r="A81" s="293"/>
      <c r="B81" s="310" t="str">
        <v>Vivaro dark stainless steel - maximum profile length 2500 mm</v>
      </c>
      <c r="AD81" s="310" t="str">
        <f ca="1"/>
        <v>Lacobel RAL 1015</v>
      </c>
    </row>
    <row r="82" spans="1:38" s="310" customFormat="1" ht="14.85" hidden="1" customHeight="1">
      <c r="A82" s="293"/>
      <c r="B82" s="310" t="str">
        <v>Vivaro white matt RAL 9003 - maximum profile length 2500 mm</v>
      </c>
      <c r="P82" s="310" t="str" cm="1">
        <f t="array" ref="P82:P83">IF(OR(H8=kombinace_5!F14,H8=kombinace_5!F15,H8=kombinace_5!F16,H8=kombinace_5!F17,H8=kombinace_5!F18,H8=kombinace_5!F19,H8=kombinace_5!A55,H8=kombinace_5!A56,H8=kombinace_5!A57,H8=kombinace_5!A58),Q56:Q57,IF(H15=kombinace_5!AB8,_ramena_HL,Q54:Q57))</f>
        <v>Right</v>
      </c>
      <c r="AD82" s="310" t="str">
        <f ca="1"/>
        <v>Lacobel RAL 7035</v>
      </c>
    </row>
    <row r="83" spans="1:38" ht="14.85" hidden="1" customHeight="1">
      <c r="B83" s="291" t="str">
        <v>Vivaro white gloss RAL 9003 - maximum profile length 2500 mm</v>
      </c>
      <c r="C83" s="293"/>
      <c r="D83" s="293"/>
      <c r="E83" s="293"/>
      <c r="F83" s="293"/>
      <c r="G83" s="293"/>
      <c r="H83" s="293"/>
      <c r="I83" s="293"/>
      <c r="J83" s="293"/>
      <c r="K83" s="293"/>
      <c r="L83" s="293"/>
      <c r="M83" s="293"/>
      <c r="N83" s="293"/>
      <c r="O83" s="291"/>
      <c r="P83" s="293" t="str">
        <v>Left</v>
      </c>
      <c r="Q83" s="293"/>
      <c r="R83" s="293"/>
      <c r="S83" s="293"/>
      <c r="T83" s="302"/>
      <c r="U83" s="302"/>
      <c r="V83" s="302"/>
      <c r="W83" s="302"/>
      <c r="X83" s="302"/>
      <c r="Y83" s="303"/>
      <c r="Z83" s="303"/>
      <c r="AA83" s="303"/>
      <c r="AB83" s="303"/>
      <c r="AC83" s="301"/>
      <c r="AD83" s="301" t="str">
        <f ca="1"/>
        <v>Lacobel RAL 9003</v>
      </c>
      <c r="AE83" s="301"/>
      <c r="AF83" s="301"/>
      <c r="AG83" s="301"/>
      <c r="AH83" s="301"/>
      <c r="AI83" s="303"/>
      <c r="AJ83" s="303"/>
      <c r="AK83" s="303"/>
      <c r="AL83" s="303"/>
    </row>
    <row r="84" spans="1:38" ht="14.85" hidden="1" customHeight="1">
      <c r="B84" s="291" t="str">
        <v>Vivaro gold - maximum profile length 2150 mm</v>
      </c>
      <c r="C84" s="293"/>
      <c r="D84" s="293"/>
      <c r="E84" s="293"/>
      <c r="F84" s="293"/>
      <c r="G84" s="293"/>
      <c r="H84" s="293"/>
      <c r="I84" s="293"/>
      <c r="J84" s="293"/>
      <c r="K84" s="293"/>
      <c r="L84" s="293"/>
      <c r="M84" s="293"/>
      <c r="N84" s="293"/>
      <c r="O84" s="291"/>
      <c r="P84" s="293"/>
      <c r="Q84" s="293"/>
      <c r="R84" s="293"/>
      <c r="S84" s="293"/>
      <c r="T84" s="302"/>
      <c r="U84" s="302"/>
      <c r="V84" s="302"/>
      <c r="W84" s="302"/>
      <c r="X84" s="302"/>
      <c r="Y84" s="303"/>
      <c r="Z84" s="303"/>
      <c r="AA84" s="303"/>
      <c r="AB84" s="303"/>
      <c r="AC84" s="301"/>
      <c r="AD84" s="301" t="str">
        <f ca="1"/>
        <v>Lacobel RAL 9005</v>
      </c>
      <c r="AE84" s="301"/>
      <c r="AF84" s="301"/>
      <c r="AG84" s="301"/>
      <c r="AH84" s="301"/>
      <c r="AI84" s="303"/>
      <c r="AJ84" s="303"/>
      <c r="AK84" s="303"/>
      <c r="AL84" s="303"/>
    </row>
    <row r="85" spans="1:38" ht="14.85" hidden="1" customHeight="1">
      <c r="B85" s="291" t="str">
        <v>Vivaro gold brushed - maximum profile length 2150 mm</v>
      </c>
      <c r="C85" s="293"/>
      <c r="D85" s="293"/>
      <c r="E85" s="293"/>
      <c r="F85" s="293"/>
      <c r="G85" s="293"/>
      <c r="H85" s="293"/>
      <c r="I85" s="293"/>
      <c r="J85" s="293"/>
      <c r="K85" s="293"/>
      <c r="L85" s="293"/>
      <c r="M85" s="293"/>
      <c r="N85" s="293"/>
      <c r="O85" s="293"/>
      <c r="P85" s="293"/>
      <c r="Q85" s="293"/>
      <c r="R85" s="293"/>
      <c r="S85" s="293"/>
      <c r="T85" s="302"/>
      <c r="U85" s="302"/>
      <c r="V85" s="302"/>
      <c r="W85" s="302"/>
      <c r="X85" s="302"/>
      <c r="Y85" s="303"/>
      <c r="Z85" s="303"/>
      <c r="AA85" s="303"/>
      <c r="AB85" s="303"/>
      <c r="AC85" s="301"/>
      <c r="AD85" s="301" t="str">
        <f ca="1"/>
        <v>Lacobel RAL 9006</v>
      </c>
      <c r="AE85" s="301"/>
      <c r="AF85" s="301"/>
      <c r="AG85" s="301"/>
      <c r="AH85" s="301"/>
      <c r="AI85" s="303"/>
      <c r="AJ85" s="303"/>
      <c r="AK85" s="303"/>
      <c r="AL85" s="303"/>
    </row>
    <row r="86" spans="1:38" ht="14.85" hidden="1" customHeight="1">
      <c r="B86" s="291" t="str">
        <v>Rocca elox (Left and Right) + Varna elox (Top and Bottom)</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str">
        <f ca="1"/>
        <v>Lacobel RAL 9007</v>
      </c>
      <c r="AE86" s="301"/>
      <c r="AF86" s="301"/>
      <c r="AG86" s="301"/>
      <c r="AH86" s="301"/>
      <c r="AI86" s="303"/>
      <c r="AJ86" s="303"/>
      <c r="AK86" s="303"/>
      <c r="AL86" s="303"/>
    </row>
    <row r="87" spans="1:38" ht="14.85" hidden="1" customHeight="1">
      <c r="B87" s="291" t="str">
        <v>Rocca black (Left and right) + Varna black (Top and bottom)</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str">
        <f ca="1"/>
        <v>Lacobel RAL 9010</v>
      </c>
      <c r="AE87" s="301"/>
      <c r="AF87" s="301"/>
      <c r="AG87" s="301"/>
      <c r="AH87" s="301"/>
      <c r="AI87" s="303"/>
      <c r="AJ87" s="303"/>
      <c r="AK87" s="303"/>
      <c r="AL87" s="303"/>
    </row>
    <row r="88" spans="1:38" ht="14.85" hidden="1" customHeight="1">
      <c r="B88" s="291" t="str">
        <v>ROMA black matt  - maximum profile length 2696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str">
        <f ca="1"/>
        <v xml:space="preserve">Matelac RAL 9003 </v>
      </c>
      <c r="AE88" s="301"/>
      <c r="AF88" s="301"/>
      <c r="AG88" s="301"/>
      <c r="AH88" s="301"/>
      <c r="AI88" s="303"/>
      <c r="AJ88" s="303"/>
      <c r="AK88" s="303"/>
      <c r="AL88" s="303"/>
    </row>
    <row r="89" spans="1:38" ht="14.85" hidden="1" customHeight="1">
      <c r="B89" s="291" t="str">
        <v>ROMA champagne matt  - maximum profile length 2696 mm</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str">
        <f ca="1"/>
        <v xml:space="preserve">Matelac RAL 9005 </v>
      </c>
      <c r="AE89" s="301"/>
      <c r="AF89" s="301"/>
      <c r="AG89" s="301"/>
      <c r="AH89" s="301"/>
      <c r="AI89" s="303"/>
      <c r="AJ89" s="303"/>
      <c r="AK89" s="303"/>
      <c r="AL89" s="303"/>
    </row>
    <row r="90" spans="1:38" ht="14.85" hidden="1" customHeight="1">
      <c r="B90" s="291" t="str">
        <v>ROMA GRIP black matt  - maximum profile length 2696 mm</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str">
        <f ca="1"/>
        <v>Matelac mirror bronze</v>
      </c>
      <c r="AE90" s="301"/>
      <c r="AF90" s="301"/>
      <c r="AG90" s="301"/>
      <c r="AH90" s="301"/>
      <c r="AI90" s="303"/>
      <c r="AJ90" s="303"/>
      <c r="AK90" s="303"/>
      <c r="AL90" s="303"/>
    </row>
    <row r="91" spans="1:38" ht="14.85" hidden="1" customHeight="1">
      <c r="B91" s="291" t="str">
        <v>ROMA GRIP champagne matt  - maximum profile length 2696 mm</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str">
        <f ca="1"/>
        <v>Matelac mirror graphite</v>
      </c>
      <c r="AE91" s="301"/>
      <c r="AF91" s="301"/>
      <c r="AG91" s="301"/>
      <c r="AH91" s="301"/>
      <c r="AI91" s="303"/>
      <c r="AJ91" s="303"/>
      <c r="AK91" s="303"/>
      <c r="AL91" s="303"/>
    </row>
    <row r="92" spans="1:38" ht="14.85" hidden="1" customHeight="1">
      <c r="B92" s="291"/>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str">
        <f ca="1"/>
        <v>Matelac mirror silver.</v>
      </c>
      <c r="AE92" s="301"/>
      <c r="AF92" s="301"/>
      <c r="AG92" s="301"/>
      <c r="AH92" s="301"/>
      <c r="AI92" s="303"/>
      <c r="AJ92" s="303"/>
      <c r="AK92" s="303"/>
      <c r="AL92" s="303"/>
    </row>
    <row r="93" spans="1:38" ht="14.85" hidden="1" customHeight="1">
      <c r="B93" s="291"/>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str">
        <f ca="1"/>
        <v>Optiwhite</v>
      </c>
      <c r="AE93" s="301"/>
      <c r="AF93" s="301"/>
      <c r="AG93" s="301"/>
      <c r="AH93" s="301"/>
      <c r="AI93" s="303"/>
      <c r="AJ93" s="303"/>
      <c r="AK93" s="303"/>
      <c r="AL93" s="303"/>
    </row>
    <row r="94" spans="1:38" ht="14.85" hidden="1" customHeight="1">
      <c r="B94" s="291"/>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str">
        <f ca="1"/>
        <v>Moru brown vertical</v>
      </c>
      <c r="AE94" s="301"/>
      <c r="AF94" s="301"/>
      <c r="AG94" s="301"/>
      <c r="AH94" s="301"/>
      <c r="AI94" s="303"/>
      <c r="AJ94" s="303"/>
      <c r="AK94" s="303"/>
      <c r="AL94" s="303"/>
    </row>
    <row r="95" spans="1:38" ht="14.85" hidden="1" customHeight="1">
      <c r="B95" s="291"/>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str">
        <f ca="1"/>
        <v xml:space="preserve">Moru graphite vertical </v>
      </c>
      <c r="AE95" s="301"/>
      <c r="AF95" s="301"/>
      <c r="AG95" s="301"/>
      <c r="AH95" s="301"/>
      <c r="AI95" s="303"/>
      <c r="AJ95" s="303"/>
      <c r="AK95" s="303"/>
      <c r="AL95" s="303"/>
    </row>
    <row r="96" spans="1:38" ht="14.85" hidden="1" customHeight="1">
      <c r="B96" s="291"/>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str">
        <f ca="1"/>
        <v>Moru brown horizontal</v>
      </c>
      <c r="AE96" s="301"/>
      <c r="AF96" s="301"/>
      <c r="AG96" s="301"/>
      <c r="AH96" s="301"/>
      <c r="AI96" s="303"/>
      <c r="AJ96" s="303"/>
      <c r="AK96" s="303"/>
      <c r="AL96" s="303"/>
    </row>
    <row r="97" spans="2:38" ht="14.85" hidden="1" customHeight="1">
      <c r="B97" s="291"/>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str">
        <f ca="1"/>
        <v>Moru graphite horizontal</v>
      </c>
      <c r="AE97" s="301"/>
      <c r="AF97" s="301"/>
      <c r="AG97" s="301"/>
      <c r="AH97" s="301"/>
      <c r="AI97" s="303"/>
      <c r="AJ97" s="303"/>
      <c r="AK97" s="303"/>
      <c r="AL97" s="303"/>
    </row>
    <row r="98" spans="2:38" ht="14.85" hidden="1" customHeight="1">
      <c r="B98" s="291"/>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GfDR/lcFY7HeVmyQOnOe/LVjFGNvVuCFSFcN6gdhqmBl9Dwh16yTe3/roUdDI86xSW8+XIWJE6Na7lulkx7+7A==" saltValue="FQYOHCbcKTZplS49+hamdg==" spinCount="100000" sheet="1" objects="1" scenarios="1"/>
  <protectedRanges>
    <protectedRange sqref="G7 I7:R7" name="Oblast1"/>
  </protectedRanges>
  <mergeCells count="99">
    <mergeCell ref="B26:F26"/>
    <mergeCell ref="H26:Q26"/>
    <mergeCell ref="B27:F27"/>
    <mergeCell ref="H27:Q27"/>
    <mergeCell ref="H19:Q19"/>
    <mergeCell ref="H25:Q25"/>
    <mergeCell ref="B32:Q32"/>
    <mergeCell ref="B28:F28"/>
    <mergeCell ref="H28:Q28"/>
    <mergeCell ref="B30:J31"/>
    <mergeCell ref="K30:K31"/>
    <mergeCell ref="L30:O31"/>
    <mergeCell ref="P30:Q31"/>
    <mergeCell ref="D29:O29"/>
    <mergeCell ref="P29:Q29"/>
    <mergeCell ref="AM14:AM21"/>
    <mergeCell ref="H18:Q18"/>
    <mergeCell ref="H21:Q21"/>
    <mergeCell ref="N16:Q16"/>
    <mergeCell ref="S13:Y17"/>
    <mergeCell ref="H13:Q13"/>
    <mergeCell ref="H14:Q14"/>
    <mergeCell ref="F20:I20"/>
    <mergeCell ref="J20:M20"/>
    <mergeCell ref="B19:F19"/>
    <mergeCell ref="B15:F15"/>
    <mergeCell ref="H15:Q15"/>
    <mergeCell ref="B16:E16"/>
    <mergeCell ref="AC24:AG24"/>
    <mergeCell ref="F16:I16"/>
    <mergeCell ref="J16:M16"/>
    <mergeCell ref="B17:F17"/>
    <mergeCell ref="B18:F18"/>
    <mergeCell ref="B21:F21"/>
    <mergeCell ref="B20:E20"/>
    <mergeCell ref="H23:Q23"/>
    <mergeCell ref="AD14:AD21"/>
    <mergeCell ref="AP2:AS3"/>
    <mergeCell ref="BD3:BH3"/>
    <mergeCell ref="BI3:BM3"/>
    <mergeCell ref="B5:D5"/>
    <mergeCell ref="F5:H5"/>
    <mergeCell ref="J5:L5"/>
    <mergeCell ref="N5:P5"/>
    <mergeCell ref="R5:T5"/>
    <mergeCell ref="AB4:AN5"/>
    <mergeCell ref="V5:X5"/>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47:AQ47"/>
    <mergeCell ref="R33:S33"/>
    <mergeCell ref="R34:S34"/>
    <mergeCell ref="V34:W34"/>
    <mergeCell ref="AN47:AO47"/>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s>
  <conditionalFormatting sqref="B5 F5 J5 N5 R5 V5">
    <cfRule type="cellIs" dxfId="400" priority="24" operator="equal">
      <formula>$A$2</formula>
    </cfRule>
  </conditionalFormatting>
  <conditionalFormatting sqref="B16:I16">
    <cfRule type="expression" dxfId="399" priority="45">
      <formula>$AU$19=0</formula>
    </cfRule>
  </conditionalFormatting>
  <conditionalFormatting sqref="B9:Q9">
    <cfRule type="expression" dxfId="398" priority="30">
      <formula>$B$9=0</formula>
    </cfRule>
  </conditionalFormatting>
  <conditionalFormatting sqref="B11:Q11">
    <cfRule type="expression" dxfId="397" priority="44">
      <formula>$AU$10=0</formula>
    </cfRule>
  </conditionalFormatting>
  <conditionalFormatting sqref="B14:Q14">
    <cfRule type="expression" dxfId="396" priority="29">
      <formula>$B$14=0</formula>
    </cfRule>
  </conditionalFormatting>
  <conditionalFormatting sqref="B17:Q17">
    <cfRule type="expression" dxfId="395" priority="28">
      <formula>$B$17=0</formula>
    </cfRule>
  </conditionalFormatting>
  <conditionalFormatting sqref="B18:Q18">
    <cfRule type="expression" dxfId="394" priority="14" stopIfTrue="1">
      <formula>$B$18=0</formula>
    </cfRule>
    <cfRule type="expression" dxfId="393" priority="17">
      <formula>$F$16=$H$61</formula>
    </cfRule>
  </conditionalFormatting>
  <conditionalFormatting sqref="B19:Q19">
    <cfRule type="expression" dxfId="392" priority="27">
      <formula>$B$19=0</formula>
    </cfRule>
  </conditionalFormatting>
  <conditionalFormatting sqref="B20:Q20">
    <cfRule type="expression" dxfId="391" priority="26">
      <formula>$B$19=0</formula>
    </cfRule>
    <cfRule type="expression" dxfId="390" priority="25">
      <formula>$B$20=0</formula>
    </cfRule>
  </conditionalFormatting>
  <conditionalFormatting sqref="B21:Q21">
    <cfRule type="expression" dxfId="389" priority="6">
      <formula>$B$21=" "</formula>
    </cfRule>
  </conditionalFormatting>
  <conditionalFormatting sqref="B24:Q24">
    <cfRule type="expression" dxfId="388" priority="19" stopIfTrue="1">
      <formula>$T$59&lt;3</formula>
    </cfRule>
  </conditionalFormatting>
  <conditionalFormatting sqref="H23">
    <cfRule type="expression" dxfId="387" priority="31">
      <formula>$H$25&gt;0</formula>
    </cfRule>
  </conditionalFormatting>
  <conditionalFormatting sqref="H10:L11">
    <cfRule type="expression" dxfId="386" priority="23">
      <formula>$AU$10=2</formula>
    </cfRule>
  </conditionalFormatting>
  <conditionalFormatting sqref="H10:Q10">
    <cfRule type="expression" dxfId="385" priority="22">
      <formula>$AU$10=0</formula>
    </cfRule>
  </conditionalFormatting>
  <conditionalFormatting sqref="H22:Q22 B22:G23">
    <cfRule type="expression" dxfId="384" priority="20">
      <formula>$AS$33=1</formula>
    </cfRule>
  </conditionalFormatting>
  <conditionalFormatting sqref="J16:M16">
    <cfRule type="expression" dxfId="383" priority="16" stopIfTrue="1">
      <formula>$K$60=TRUE</formula>
    </cfRule>
  </conditionalFormatting>
  <conditionalFormatting sqref="J16:N16">
    <cfRule type="expression" dxfId="382" priority="18" stopIfTrue="1">
      <formula>$AV$19=0</formula>
    </cfRule>
  </conditionalFormatting>
  <conditionalFormatting sqref="M10:Q11">
    <cfRule type="expression" dxfId="381" priority="21">
      <formula>$AU$10=1</formula>
    </cfRule>
  </conditionalFormatting>
  <conditionalFormatting sqref="N16:Q16">
    <cfRule type="expression" dxfId="380" priority="15" stopIfTrue="1">
      <formula>$K$60=TRUE</formula>
    </cfRule>
  </conditionalFormatting>
  <conditionalFormatting sqref="P29:Q29">
    <cfRule type="expression" dxfId="379" priority="1">
      <formula>$U$41=2</formula>
    </cfRule>
  </conditionalFormatting>
  <conditionalFormatting sqref="AA9:AA10 AA24:AA25">
    <cfRule type="expression" dxfId="378" priority="10" stopIfTrue="1">
      <formula>$AU$17=1</formula>
    </cfRule>
  </conditionalFormatting>
  <conditionalFormatting sqref="AA16:AA17">
    <cfRule type="expression" dxfId="377" priority="5" stopIfTrue="1">
      <formula>$AU$24="1_3"</formula>
    </cfRule>
  </conditionalFormatting>
  <conditionalFormatting sqref="AB6 AA6:AA7 AA27 AA28:AB28">
    <cfRule type="expression" dxfId="376" priority="4" stopIfTrue="1">
      <formula>$AV$17=1</formula>
    </cfRule>
  </conditionalFormatting>
  <conditionalFormatting sqref="AB29:AO29">
    <cfRule type="cellIs" dxfId="375" priority="2" operator="equal">
      <formula>0</formula>
    </cfRule>
  </conditionalFormatting>
  <conditionalFormatting sqref="AC6:AD6 AM6:AN6">
    <cfRule type="expression" dxfId="374" priority="12" stopIfTrue="1">
      <formula>$AU$17=3</formula>
    </cfRule>
  </conditionalFormatting>
  <conditionalFormatting sqref="AC25:AD25 AJ26:AJ27">
    <cfRule type="expression" dxfId="373" priority="39">
      <formula>$AU$25=4</formula>
    </cfRule>
  </conditionalFormatting>
  <conditionalFormatting sqref="AC28:AD28 AM28:AN28">
    <cfRule type="expression" dxfId="372" priority="11" stopIfTrue="1">
      <formula>$AU$17=4</formula>
    </cfRule>
  </conditionalFormatting>
  <conditionalFormatting sqref="AC8:AG8">
    <cfRule type="expression" dxfId="371" priority="43">
      <formula>$AU$25=3</formula>
    </cfRule>
  </conditionalFormatting>
  <conditionalFormatting sqref="AC24:AG24">
    <cfRule type="expression" dxfId="370" priority="40">
      <formula>$AU$25=4</formula>
    </cfRule>
  </conditionalFormatting>
  <conditionalFormatting sqref="AD10:AD12 AB19:AC19">
    <cfRule type="expression" dxfId="369" priority="33">
      <formula>$AU$25=1</formula>
    </cfRule>
  </conditionalFormatting>
  <conditionalFormatting sqref="AD14:AD21">
    <cfRule type="expression" dxfId="368" priority="32">
      <formula>$AU$25=1</formula>
    </cfRule>
  </conditionalFormatting>
  <conditionalFormatting sqref="AE10:AE16">
    <cfRule type="expression" dxfId="367" priority="41">
      <formula>$AU$25=1</formula>
    </cfRule>
  </conditionalFormatting>
  <conditionalFormatting sqref="AF9:AK9">
    <cfRule type="expression" dxfId="366" priority="36">
      <formula>$AU$25=3</formula>
    </cfRule>
  </conditionalFormatting>
  <conditionalFormatting sqref="AF25:AK25">
    <cfRule type="expression" dxfId="365" priority="38">
      <formula>$AU$25=4</formula>
    </cfRule>
  </conditionalFormatting>
  <conditionalFormatting sqref="AG6:AH6">
    <cfRule type="expression" dxfId="364" priority="8" stopIfTrue="1">
      <formula>$AU$24="3_3"</formula>
    </cfRule>
  </conditionalFormatting>
  <conditionalFormatting sqref="AG28:AH28">
    <cfRule type="expression" dxfId="363" priority="7" stopIfTrue="1">
      <formula>$AU$24="4_3"</formula>
    </cfRule>
  </conditionalFormatting>
  <conditionalFormatting sqref="AJ7:AJ8 AC9:AD9">
    <cfRule type="expression" dxfId="362" priority="37">
      <formula>$AU$25=3</formula>
    </cfRule>
  </conditionalFormatting>
  <conditionalFormatting sqref="AL19:AL25">
    <cfRule type="expression" dxfId="361" priority="42">
      <formula>$AU$25=2</formula>
    </cfRule>
  </conditionalFormatting>
  <conditionalFormatting sqref="AM14:AM21">
    <cfRule type="expression" dxfId="360" priority="34">
      <formula>$AU$25=2</formula>
    </cfRule>
  </conditionalFormatting>
  <conditionalFormatting sqref="AN19:AO19 AM23:AM25">
    <cfRule type="expression" dxfId="359" priority="35">
      <formula>$AU$25=2</formula>
    </cfRule>
  </conditionalFormatting>
  <conditionalFormatting sqref="AO6 AP6:AP7 AP27 AO28:AP28">
    <cfRule type="expression" dxfId="358" priority="3" stopIfTrue="1">
      <formula>$AV$17=2</formula>
    </cfRule>
  </conditionalFormatting>
  <conditionalFormatting sqref="AP9:AP10 AP24:AP25">
    <cfRule type="expression" dxfId="357" priority="9" stopIfTrue="1">
      <formula>$AU$17=2</formula>
    </cfRule>
  </conditionalFormatting>
  <conditionalFormatting sqref="AP16:AP17">
    <cfRule type="expression" dxfId="356" priority="13" stopIfTrue="1">
      <formula>$AU$24="2_3"</formula>
    </cfRule>
  </conditionalFormatting>
  <dataValidations count="20">
    <dataValidation type="whole" allowBlank="1" showInputMessage="1" showErrorMessage="1" sqref="H11:L11" xr:uid="{945109BB-0EED-45FC-B875-539F641BC890}">
      <formula1>1</formula1>
      <formula2>(AR14/100)-1</formula2>
    </dataValidation>
    <dataValidation type="whole" allowBlank="1" showInputMessage="1" showErrorMessage="1" sqref="M11:Q11" xr:uid="{2C52E1F8-E420-47EB-8FD3-22D4523AD478}">
      <formula1>1</formula1>
      <formula2>(AI30/100)-1</formula2>
    </dataValidation>
    <dataValidation type="whole" allowBlank="1" showInputMessage="1" showErrorMessage="1" errorTitle="Minimum 80 mm" sqref="F20:I20 N20:Q20" xr:uid="{6D392049-D827-481C-8B31-488CA81FD4E6}">
      <formula1>80</formula1>
      <formula2>1300</formula2>
    </dataValidation>
    <dataValidation type="whole" operator="greaterThanOrEqual" allowBlank="1" showInputMessage="1" showErrorMessage="1" sqref="H26:Q26" xr:uid="{F684EB84-86CC-4F7A-9ACD-E122ED9B6416}">
      <formula1>1</formula1>
    </dataValidation>
    <dataValidation type="list" allowBlank="1" showInputMessage="1" showErrorMessage="1" sqref="H12:Q12" xr:uid="{02ADD0B8-BBA2-43CB-BDA9-6760C440D732}">
      <formula1>$L$36:$M$36</formula1>
    </dataValidation>
    <dataValidation type="list" allowBlank="1" showInputMessage="1" showErrorMessage="1" sqref="H14:Q14" xr:uid="{968F440F-7FDE-46A3-AC2F-72A71ADE8AEE}">
      <formula1>$P$36:$P$38</formula1>
    </dataValidation>
    <dataValidation type="list" allowBlank="1" showInputMessage="1" showErrorMessage="1" sqref="H21:Q21" xr:uid="{B8685AC2-BF04-4310-883C-119429D10639}">
      <formula1>$T$54:$T$56</formula1>
    </dataValidation>
    <dataValidation type="list" allowBlank="1" showInputMessage="1" showErrorMessage="1" sqref="H24:Q24" xr:uid="{163312C4-7EF0-4CCA-A529-747C16CA4E2D}">
      <formula1>$X$54:$X$56</formula1>
    </dataValidation>
    <dataValidation type="list" allowBlank="1" showInputMessage="1" showErrorMessage="1" sqref="H19:Q19" xr:uid="{61F3A8FF-6895-4EC6-B243-7DACA4E47027}">
      <formula1>IF(H13="Salice",$AJ$36,($AJ$36:$AJ$40))</formula1>
    </dataValidation>
    <dataValidation type="list" allowBlank="1" showInputMessage="1" showErrorMessage="1" sqref="H18:Q18" xr:uid="{BCAF0817-D0A6-4778-8880-60F6AE49FCED}">
      <formula1>$AF$36:$AF$41</formula1>
    </dataValidation>
    <dataValidation type="list" allowBlank="1" showInputMessage="1" showErrorMessage="1" sqref="N16:Q16" xr:uid="{47B861ED-1D68-4C0A-ADA8-F4B78F91C1B4}">
      <formula1>$K$54:$K$58</formula1>
    </dataValidation>
    <dataValidation type="list" allowBlank="1" showInputMessage="1" showErrorMessage="1" sqref="H13:Q13" xr:uid="{5152D841-ED45-4B69-BE57-F7A66BC108B5}">
      <formula1>IF(M38="Salice",$L$38,$L$38:$L$42)</formula1>
    </dataValidation>
    <dataValidation type="list" allowBlank="1" showInputMessage="1" showErrorMessage="1" sqref="H15:Q15" xr:uid="{6847C15D-9BB6-42F0-BFD4-6C4B50087779}">
      <formula1>$T$36:$T$44</formula1>
    </dataValidation>
    <dataValidation type="list" allowBlank="1" showInputMessage="1" showErrorMessage="1" sqref="F16:I16" xr:uid="{23A75D58-5766-4F45-8C65-C37B8FC68ACF}">
      <formula1>$O$65:$O$71</formula1>
    </dataValidation>
    <dataValidation type="list" allowBlank="1" showInputMessage="1" showErrorMessage="1" sqref="H17:Q17" xr:uid="{6B78565D-9B09-44BE-AE63-DDA0DCA51813}">
      <formula1>$P$82:$P$90</formula1>
    </dataValidation>
    <dataValidation type="whole" operator="lessThan" showInputMessage="1" showErrorMessage="1" sqref="AI30:AK30" xr:uid="{94C640AE-C94D-4717-AB7E-EE87EE30D29F}">
      <formula1>IF(AR14&lt;AI43+1,AJ43+1,AI43+1)</formula1>
    </dataValidation>
    <dataValidation type="whole" operator="lessThan" showErrorMessage="1" sqref="AR14:AR18" xr:uid="{2F726ABC-F58E-453C-B0A3-94A112E6CB53}">
      <formula1>IF(AI30&lt;AI43+1,AJ43+1,AI43+1)</formula1>
    </dataValidation>
    <dataValidation type="list" allowBlank="1" showInputMessage="1" showErrorMessage="1" sqref="P29:Q29" xr:uid="{150F5A62-30FE-4D4A-A424-6AEC369747B9}">
      <formula1>$W$37:$W$38</formula1>
    </dataValidation>
    <dataValidation type="list" allowBlank="1" showInputMessage="1" showErrorMessage="1" sqref="H25:Q25" xr:uid="{6632D1C2-7968-4244-B153-E6AE37A422C4}">
      <formula1>$AD$54:$AD$97</formula1>
    </dataValidation>
    <dataValidation type="list" allowBlank="1" showInputMessage="1" showErrorMessage="1" sqref="H8:Q8" xr:uid="{9C7C9B8E-5071-452D-8D16-72FB65E4AFE3}">
      <formula1>B36:B91</formula1>
    </dataValidation>
  </dataValidations>
  <hyperlinks>
    <hyperlink ref="AP2:AS3" location="Hlavní!A1" display="Hlavní!A1" xr:uid="{9395252B-0B19-47D5-8350-3FD8F8946F01}"/>
    <hyperlink ref="F5:H5" location="Ram_2!A1" display="Ram_2!A1" xr:uid="{F8F2E682-951E-4183-BACB-A2EAF0BE9FCA}"/>
    <hyperlink ref="N5:P5" location="Ram_4!A1" display="Ram_4!A1" xr:uid="{BCC207E5-B6CB-49C8-9653-7BB8B54F5726}"/>
    <hyperlink ref="R5:T5" location="Ram_5!A1" display="Ram_5!A1" xr:uid="{0DF75F10-8E86-49E1-B92E-CB0C4D1EF67E}"/>
    <hyperlink ref="V5:X5" location="Ram_6!A1" display="Ram_6!A1" xr:uid="{CFB40F49-7FE0-4DEF-8521-4D86D99C5471}"/>
    <hyperlink ref="B5:D5" location="Ram_1!A1" display="Ram_1!A1" xr:uid="{6970C810-0B8C-401C-953E-689A0C4A4AFA}"/>
    <hyperlink ref="AO31:AR32" location="_souhrn!A1" display="_souhrn!A1" xr:uid="{A5CE6045-F42B-4FEC-B2C7-E062D908C5C8}"/>
    <hyperlink ref="J5:L5" location="Ram_3!A1" display="Ram_3!A1" xr:uid="{F74854AD-1432-4A2D-959B-DDC1D1897B9F}"/>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57150</xdr:colOff>
                    <xdr:row>6</xdr:row>
                    <xdr:rowOff>161925</xdr:rowOff>
                  </from>
                  <to>
                    <xdr:col>5</xdr:col>
                    <xdr:colOff>285750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DCC1A83-2A85-45B4-A3C0-A5805735FD98}">
          <x14:formula1>
            <xm:f>'závěsy dle výklopu'!$BW$2:$BW$5</xm:f>
          </x14:formula1>
          <xm:sqref>H27:Q27</xm:sqref>
        </x14:dataValidation>
        <x14:dataValidation type="list" allowBlank="1" showInputMessage="1" showErrorMessage="1" xr:uid="{2C04A6EE-DEA9-40CB-BFE8-4C1808D45A34}">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D673"/>
  <sheetViews>
    <sheetView topLeftCell="DE2" workbookViewId="0">
      <selection activeCell="DN3" sqref="DN3:DN4"/>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#NAME?</v>
      </c>
      <c r="Q1" s="326" t="s">
        <v>1930</v>
      </c>
      <c r="R1" s="11" t="str">
        <f>VLOOKUP(Ram_5!H8,kombinace_5!$A$3:$C$75,3,0)</f>
        <v>N</v>
      </c>
      <c r="S1" t="str">
        <f>CONCATENATE("_",R1,V1)</f>
        <v>_N1</v>
      </c>
      <c r="U1" s="326" t="s">
        <v>1929</v>
      </c>
      <c r="V1" s="11">
        <f>IFERROR(VLOOKUP(Ram_5!H21,$EN$3:$EO$5,2,0),1)</f>
        <v>1</v>
      </c>
      <c r="X1" t="s">
        <v>1866</v>
      </c>
      <c r="AA1" t="s">
        <v>1021</v>
      </c>
      <c r="AF1" t="s">
        <v>1867</v>
      </c>
      <c r="AX1" t="s">
        <v>693</v>
      </c>
      <c r="BC1" t="s">
        <v>9</v>
      </c>
      <c r="BK1" t="s">
        <v>987</v>
      </c>
      <c r="BM1" t="s">
        <v>1919</v>
      </c>
      <c r="ER1" t="s">
        <v>3124</v>
      </c>
      <c r="ES1" t="s">
        <v>3129</v>
      </c>
      <c r="EV1">
        <v>1</v>
      </c>
      <c r="EW1" t="s">
        <v>3146</v>
      </c>
      <c r="EY1" t="s">
        <v>3249</v>
      </c>
      <c r="FA1" t="s">
        <v>3250</v>
      </c>
      <c r="FC1" t="s">
        <v>3248</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CONCATENATE("_",Ram_5!H12,"_",Ram_5!H13)</f>
        <v>__</v>
      </c>
      <c r="BV2" t="s">
        <v>1947</v>
      </c>
      <c r="BW2" t="s">
        <v>1942</v>
      </c>
      <c r="BY2" t="s">
        <v>220</v>
      </c>
      <c r="CA2" t="s">
        <v>1974</v>
      </c>
      <c r="CD2" t="s">
        <v>2049</v>
      </c>
      <c r="CF2" t="s">
        <v>2294</v>
      </c>
      <c r="DN2" t="str">
        <f>'Translate&amp;Prices&amp;Logo'!B553</f>
        <v>Overlay</v>
      </c>
      <c r="DP2" t="str">
        <f>'Translate&amp;Prices&amp;Logo'!$B$551</f>
        <v>Hinges</v>
      </c>
      <c r="DQ2">
        <v>2</v>
      </c>
      <c r="ED2" t="s">
        <v>2617</v>
      </c>
      <c r="EE2" t="s">
        <v>2711</v>
      </c>
      <c r="ER2" t="s">
        <v>3125</v>
      </c>
      <c r="ES2" t="s">
        <v>3130</v>
      </c>
      <c r="EV2">
        <v>2</v>
      </c>
      <c r="EW2" t="s">
        <v>3147</v>
      </c>
      <c r="EY2" s="366" t="str">
        <f>'Translate&amp;Prices&amp;Logo'!B164</f>
        <v>mesh aluminum gold - field 10x6x1 mm</v>
      </c>
      <c r="FA2" s="168">
        <f>'Translate&amp;Prices&amp;Logo'!B644</f>
        <v>0</v>
      </c>
      <c r="FC2" t="b">
        <v>0</v>
      </c>
    </row>
    <row r="3" spans="1:160">
      <c r="A3" t="str">
        <f>'Translate&amp;Prices&amp;Logo'!$B$6</f>
        <v>BRW (elox.) - maximum profile length 2500 mm</v>
      </c>
      <c r="B3">
        <v>1</v>
      </c>
      <c r="C3" t="s">
        <v>1122</v>
      </c>
      <c r="D3">
        <v>1</v>
      </c>
      <c r="F3" t="s">
        <v>1883</v>
      </c>
      <c r="G3" t="s">
        <v>672</v>
      </c>
      <c r="H3" t="s">
        <v>1884</v>
      </c>
      <c r="I3">
        <v>1</v>
      </c>
      <c r="J3">
        <v>2</v>
      </c>
      <c r="K3" t="s">
        <v>1122</v>
      </c>
      <c r="M3" t="s">
        <v>1885</v>
      </c>
      <c r="N3" t="s">
        <v>947</v>
      </c>
      <c r="X3" t="str">
        <f>'Translate&amp;Prices&amp;Logo'!$B$563</f>
        <v>Transparent</v>
      </c>
      <c r="Y3">
        <v>1</v>
      </c>
      <c r="AA3" t="s">
        <v>3051</v>
      </c>
      <c r="AB3" t="s">
        <v>1942</v>
      </c>
      <c r="AF3" t="s">
        <v>215</v>
      </c>
      <c r="AG3" t="s">
        <v>3407</v>
      </c>
      <c r="AY3" t="s">
        <v>1917</v>
      </c>
      <c r="BK3" t="s">
        <v>215</v>
      </c>
      <c r="BU3" t="e">
        <f>VLOOKUP(BU2,BV:BW,2,0)</f>
        <v>#N/A</v>
      </c>
      <c r="BV3" t="s">
        <v>1950</v>
      </c>
      <c r="BW3" t="s">
        <v>1946</v>
      </c>
      <c r="BY3" t="str">
        <f>'Translate&amp;Prices&amp;Logo'!$B$230</f>
        <v>Left</v>
      </c>
      <c r="BZ3">
        <v>1</v>
      </c>
      <c r="CA3">
        <v>32</v>
      </c>
      <c r="CD3" t="s">
        <v>3404</v>
      </c>
      <c r="CE3">
        <v>1</v>
      </c>
      <c r="CF3">
        <v>1</v>
      </c>
      <c r="DN3" t="str">
        <f>IF(OR(Ram_5!$H$13&amp;Ram_5!$AU$7=Ram_5!$M$44,
Ram_5!$H$13&amp;Ram_5!$AU$7=Ram_5!$M$45,
Ram_5!$H$13&amp;Ram_5!$AU$7=Ram_5!$M$46,
Ram_5!$H$13&amp;Ram_5!$AU$7=Ram_5!$M$47),
'Translate&amp;Prices&amp;Logo'!B657,'Translate&amp;Prices&amp;Logo'!B554)</f>
        <v>Half-overlay</v>
      </c>
      <c r="DP3" t="str">
        <f>'Translate&amp;Prices&amp;Logo'!$B$552</f>
        <v>Lifts</v>
      </c>
      <c r="DQ3">
        <v>3</v>
      </c>
      <c r="ED3" t="s">
        <v>2618</v>
      </c>
      <c r="EE3" t="s">
        <v>2712</v>
      </c>
      <c r="EJ3">
        <v>1</v>
      </c>
      <c r="EK3" t="s">
        <v>333</v>
      </c>
      <c r="EN3" t="str">
        <f>'Translate&amp;Prices&amp;Logo'!B638</f>
        <v>Not treated</v>
      </c>
      <c r="EO3">
        <v>1</v>
      </c>
      <c r="ER3" t="s">
        <v>3123</v>
      </c>
      <c r="ES3" t="s">
        <v>3131</v>
      </c>
      <c r="EV3">
        <v>3</v>
      </c>
      <c r="EW3" t="s">
        <v>3148</v>
      </c>
      <c r="EY3" s="366" t="str">
        <f>'Translate&amp;Prices&amp;Logo'!B165</f>
        <v>mesh steel black matt - field 8x4x1 mm</v>
      </c>
      <c r="FA3" s="168">
        <f>'Translate&amp;Prices&amp;Logo'!B645</f>
        <v>0</v>
      </c>
    </row>
    <row r="4" spans="1:160">
      <c r="A4" t="str">
        <f>'Translate&amp;Prices&amp;Logo'!$B$8</f>
        <v>BRW white matt RAL 9003 - maximum profile length 2500 mm</v>
      </c>
      <c r="B4">
        <v>1</v>
      </c>
      <c r="C4" t="s">
        <v>1122</v>
      </c>
      <c r="D4">
        <v>0</v>
      </c>
      <c r="G4" t="s">
        <v>1884</v>
      </c>
      <c r="H4" t="s">
        <v>672</v>
      </c>
      <c r="I4">
        <v>0</v>
      </c>
      <c r="J4">
        <v>2</v>
      </c>
      <c r="K4" t="s">
        <v>1122</v>
      </c>
      <c r="M4" t="s">
        <v>1888</v>
      </c>
      <c r="N4" t="s">
        <v>1488</v>
      </c>
      <c r="X4" t="str">
        <f>'Translate&amp;Prices&amp;Logo'!$B$564</f>
        <v>White</v>
      </c>
      <c r="Y4">
        <v>2</v>
      </c>
      <c r="AA4" t="s">
        <v>1887</v>
      </c>
      <c r="AB4" t="s">
        <v>3404</v>
      </c>
      <c r="AC4">
        <v>1</v>
      </c>
      <c r="AD4">
        <v>1</v>
      </c>
      <c r="AF4" t="s">
        <v>216</v>
      </c>
      <c r="AG4" t="s">
        <v>3407</v>
      </c>
      <c r="AY4" t="s">
        <v>1917</v>
      </c>
      <c r="AZ4" t="s">
        <v>1952</v>
      </c>
      <c r="BK4" t="s">
        <v>216</v>
      </c>
      <c r="BV4" t="s">
        <v>1951</v>
      </c>
      <c r="BW4" t="s">
        <v>1945</v>
      </c>
      <c r="BY4" t="str">
        <f>'Translate&amp;Prices&amp;Logo'!$B$229</f>
        <v>Right</v>
      </c>
      <c r="BZ4">
        <v>2</v>
      </c>
      <c r="CA4">
        <v>64</v>
      </c>
      <c r="CD4" t="s">
        <v>3122</v>
      </c>
      <c r="CE4">
        <v>1</v>
      </c>
      <c r="CF4">
        <v>0</v>
      </c>
      <c r="DN4" t="str">
        <f>IF(OR(Ram_5!$H$13&amp;Ram_5!$AU$7=Ram_5!$M$44,
Ram_5!$H$13&amp;Ram_5!$AU$7=Ram_5!$M$45,
Ram_5!$H$13&amp;Ram_5!$AU$7=Ram_5!$M$46,
Ram_5!$H$13&amp;Ram_5!$AU$7=Ram_5!$M$47),
'Translate&amp;Prices&amp;Logo'!B657,'Translate&amp;Prices&amp;Logo'!B555)</f>
        <v>Inset</v>
      </c>
      <c r="ED4" t="s">
        <v>2619</v>
      </c>
      <c r="EE4" t="s">
        <v>2713</v>
      </c>
      <c r="EJ4">
        <v>2</v>
      </c>
      <c r="EK4" t="s">
        <v>334</v>
      </c>
      <c r="EN4" t="str">
        <f>'Translate&amp;Prices&amp;Logo'!B639</f>
        <v>Harded (delivery is 4 weeks)</v>
      </c>
      <c r="EO4">
        <v>2</v>
      </c>
      <c r="ER4" t="s">
        <v>3482</v>
      </c>
      <c r="ES4" t="s">
        <v>3483</v>
      </c>
      <c r="EV4">
        <v>4</v>
      </c>
      <c r="EW4" t="s">
        <v>3149</v>
      </c>
      <c r="EY4" s="366" t="str">
        <f>'Translate&amp;Prices&amp;Logo'!B166</f>
        <v>mesh steel white - field 8x4x1 mm</v>
      </c>
      <c r="FA4" s="168">
        <f>'Translate&amp;Prices&amp;Logo'!B646</f>
        <v>0</v>
      </c>
      <c r="FD4" s="388"/>
    </row>
    <row r="5" spans="1:160">
      <c r="A5" t="str">
        <f>'Translate&amp;Prices&amp;Logo'!$B$9</f>
        <v>BRW white gloss RAL 9003 - maximum profile length 2500 mm</v>
      </c>
      <c r="B5">
        <v>1</v>
      </c>
      <c r="C5" t="s">
        <v>1122</v>
      </c>
      <c r="D5">
        <v>0</v>
      </c>
      <c r="F5" t="s">
        <v>1890</v>
      </c>
      <c r="G5" t="s">
        <v>671</v>
      </c>
      <c r="H5" t="s">
        <v>1884</v>
      </c>
      <c r="I5">
        <v>1</v>
      </c>
      <c r="J5">
        <v>2</v>
      </c>
      <c r="K5" t="s">
        <v>1122</v>
      </c>
      <c r="M5" t="s">
        <v>1891</v>
      </c>
      <c r="N5" t="s">
        <v>967</v>
      </c>
      <c r="X5" t="str">
        <f>'Translate&amp;Prices&amp;Logo'!$B$565</f>
        <v>Black</v>
      </c>
      <c r="Y5">
        <v>3</v>
      </c>
      <c r="AA5" t="s">
        <v>1887</v>
      </c>
      <c r="AB5" t="s">
        <v>3408</v>
      </c>
      <c r="AC5">
        <v>0</v>
      </c>
      <c r="AD5">
        <v>0</v>
      </c>
      <c r="AF5" t="s">
        <v>215</v>
      </c>
      <c r="AG5" t="s">
        <v>3409</v>
      </c>
      <c r="AY5" t="s">
        <v>1917</v>
      </c>
      <c r="AZ5" t="s">
        <v>1953</v>
      </c>
      <c r="BK5" t="s">
        <v>1894</v>
      </c>
      <c r="BV5" t="s">
        <v>3534</v>
      </c>
      <c r="BW5" t="s">
        <v>3535</v>
      </c>
      <c r="BY5" t="str">
        <f>'Translate&amp;Prices&amp;Logo'!$B$227</f>
        <v>Top</v>
      </c>
      <c r="BZ5">
        <v>3</v>
      </c>
      <c r="CA5">
        <v>76</v>
      </c>
      <c r="CD5" t="s">
        <v>1897</v>
      </c>
      <c r="CE5">
        <v>1</v>
      </c>
      <c r="CF5">
        <v>0</v>
      </c>
      <c r="ED5" t="s">
        <v>2620</v>
      </c>
      <c r="EE5" t="s">
        <v>2714</v>
      </c>
      <c r="EJ5">
        <v>3</v>
      </c>
      <c r="EK5" t="s">
        <v>108</v>
      </c>
      <c r="EN5" t="str">
        <f>'Translate&amp;Prices&amp;Logo'!B640</f>
        <v>Foil</v>
      </c>
      <c r="EO5">
        <v>3</v>
      </c>
      <c r="ER5" t="s">
        <v>3484</v>
      </c>
      <c r="ES5" t="s">
        <v>3485</v>
      </c>
      <c r="EV5">
        <v>5</v>
      </c>
      <c r="EW5" t="s">
        <v>3147</v>
      </c>
      <c r="EY5" s="366" t="str">
        <f>'Translate&amp;Prices&amp;Logo'!B167</f>
        <v>mesh anodized - field 10x6x1 mm</v>
      </c>
      <c r="FA5" s="168">
        <f>'Translate&amp;Prices&amp;Logo'!B647</f>
        <v>0</v>
      </c>
      <c r="FD5" s="388"/>
    </row>
    <row r="6" spans="1:160">
      <c r="A6" t="str">
        <f>'Translate&amp;Prices&amp;Logo'!$B$11</f>
        <v>BRW brushed - maximum profile length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Bottom</v>
      </c>
      <c r="BZ6">
        <v>4</v>
      </c>
      <c r="CA6">
        <v>96</v>
      </c>
      <c r="CD6" t="s">
        <v>1900</v>
      </c>
      <c r="CE6">
        <v>1</v>
      </c>
      <c r="CF6">
        <v>1</v>
      </c>
      <c r="ED6" t="s">
        <v>2621</v>
      </c>
      <c r="EE6" t="s">
        <v>2715</v>
      </c>
      <c r="EJ6">
        <v>4</v>
      </c>
      <c r="EK6" t="s">
        <v>109</v>
      </c>
      <c r="ER6" t="s">
        <v>3486</v>
      </c>
      <c r="ES6" t="s">
        <v>3487</v>
      </c>
      <c r="FA6" s="168">
        <f>'Translate&amp;Prices&amp;Logo'!B648</f>
        <v>0</v>
      </c>
    </row>
    <row r="7" spans="1:160">
      <c r="A7" t="str">
        <f>'Translate&amp;Prices&amp;Logo'!$B$12</f>
        <v>BRW black matt - maximum profile length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3488</v>
      </c>
      <c r="ES7" t="s">
        <v>3489</v>
      </c>
      <c r="FA7" s="168">
        <f>'Translate&amp;Prices&amp;Logo'!B649</f>
        <v>0</v>
      </c>
      <c r="FD7" s="388"/>
    </row>
    <row r="8" spans="1:160">
      <c r="A8" t="str">
        <f>'Translate&amp;Prices&amp;Logo'!$B$14</f>
        <v>BRW black brushed - maximum profile length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3490</v>
      </c>
      <c r="ES8" t="s">
        <v>3491</v>
      </c>
      <c r="FA8" s="168">
        <f>'Translate&amp;Prices&amp;Logo'!B650</f>
        <v>0</v>
      </c>
    </row>
    <row r="9" spans="1:160">
      <c r="A9" t="str">
        <f>'Translate&amp;Prices&amp;Logo'!$B$15</f>
        <v>BRW Light Stainless Steel (ACIER GRATA) - maximum profile length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2718</v>
      </c>
      <c r="ER9" t="s">
        <v>3492</v>
      </c>
      <c r="ES9" t="s">
        <v>3493</v>
      </c>
      <c r="FA9">
        <f>'Translate&amp;Prices&amp;Logo'!B651</f>
        <v>0</v>
      </c>
    </row>
    <row r="10" spans="1:160">
      <c r="A10" t="str">
        <f>'Translate&amp;Prices&amp;Logo'!$B$7</f>
        <v>BRW anthracite RAL 7021 - maximum profile length 2500 mm</v>
      </c>
      <c r="B10">
        <v>1</v>
      </c>
      <c r="C10" t="s">
        <v>1122</v>
      </c>
      <c r="D10">
        <v>0</v>
      </c>
      <c r="M10" t="str">
        <f>'Translate&amp;Prices&amp;Logo'!B558</f>
        <v>Horizontal (delivery is 4 weeks)</v>
      </c>
      <c r="N10">
        <f>IF(Ram_5!$H$9=kombinace_5!M10,1,0)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8"/>
    </row>
    <row r="11" spans="1:160">
      <c r="A11" t="str">
        <f>'Translate&amp;Prices&amp;Logo'!$B$69</f>
        <v>BRW champagne - maximum profile length 2500 mm</v>
      </c>
      <c r="B11">
        <v>1</v>
      </c>
      <c r="C11" t="s">
        <v>1122</v>
      </c>
      <c r="D11">
        <v>0</v>
      </c>
      <c r="M11" t="str">
        <f>'Translate&amp;Prices&amp;Logo'!B559</f>
        <v>Vertical (delivery is 4 weeks)</v>
      </c>
      <c r="N11">
        <f>IF(Ram_5!$H$9=kombinace_5!M11,2,0)</f>
        <v>0</v>
      </c>
      <c r="AC11">
        <v>0</v>
      </c>
      <c r="AD11">
        <v>0</v>
      </c>
      <c r="AF11" t="s">
        <v>215</v>
      </c>
      <c r="AG11" t="s">
        <v>1902</v>
      </c>
      <c r="AY11" t="s">
        <v>1887</v>
      </c>
      <c r="AZ11" t="s">
        <v>1958</v>
      </c>
      <c r="BQ11" s="368" t="s">
        <v>3237</v>
      </c>
      <c r="BY11">
        <v>5</v>
      </c>
      <c r="CA11">
        <v>240</v>
      </c>
      <c r="CD11" t="str">
        <f>CONCATENATE('Translate&amp;Prices&amp;Logo'!B664,"_K12")</f>
        <v>bottom_K12</v>
      </c>
      <c r="CE11">
        <v>1</v>
      </c>
      <c r="CF11">
        <v>0</v>
      </c>
      <c r="DN11" t="s">
        <v>99</v>
      </c>
      <c r="DO11" s="11" t="s">
        <v>99</v>
      </c>
      <c r="ED11" t="s">
        <v>2626</v>
      </c>
      <c r="EE11" t="s">
        <v>2720</v>
      </c>
      <c r="ER11" t="s">
        <v>3127</v>
      </c>
      <c r="ES11" t="s">
        <v>3133</v>
      </c>
      <c r="FD11" s="388"/>
    </row>
    <row r="12" spans="1:160">
      <c r="A12" t="str">
        <f>'Translate&amp;Prices&amp;Logo'!$B$70</f>
        <v>BRW champagne light - maximum profile length 2500 mm</v>
      </c>
      <c r="B12">
        <v>1</v>
      </c>
      <c r="C12" t="s">
        <v>1122</v>
      </c>
      <c r="D12">
        <v>0</v>
      </c>
      <c r="M12" t="str">
        <f>'Translate&amp;Prices&amp;Logo'!B560</f>
        <v>Horizontal and vertical (delivery is 4 weeks)</v>
      </c>
      <c r="N12">
        <f>IF(Ram_5!$H$9=kombinace_5!M12,3,0)</f>
        <v>0</v>
      </c>
      <c r="AC12">
        <v>0</v>
      </c>
      <c r="AD12">
        <v>0</v>
      </c>
      <c r="AF12" t="s">
        <v>216</v>
      </c>
      <c r="AG12" t="s">
        <v>1902</v>
      </c>
      <c r="AY12" t="s">
        <v>1887</v>
      </c>
      <c r="AZ12" t="s">
        <v>1959</v>
      </c>
      <c r="BQ12" s="369"/>
      <c r="BR12" t="s">
        <v>1887</v>
      </c>
      <c r="BY12">
        <v>6</v>
      </c>
      <c r="CA12">
        <v>256</v>
      </c>
      <c r="CD12" t="s">
        <v>1911</v>
      </c>
      <c r="CE12">
        <v>1</v>
      </c>
      <c r="CF12">
        <v>0</v>
      </c>
      <c r="DN12" t="s">
        <v>100</v>
      </c>
      <c r="DO12" s="11" t="s">
        <v>100</v>
      </c>
      <c r="ED12" t="s">
        <v>2627</v>
      </c>
      <c r="EE12" t="s">
        <v>2721</v>
      </c>
      <c r="ER12" t="s">
        <v>3128</v>
      </c>
      <c r="ES12" t="s">
        <v>3134</v>
      </c>
    </row>
    <row r="13" spans="1:160">
      <c r="A13" t="str">
        <f>'Translate&amp;Prices&amp;Logo'!$B$10</f>
        <v>BRW brown - maximum profile length 2500 mm</v>
      </c>
      <c r="B13">
        <v>1</v>
      </c>
      <c r="C13" t="s">
        <v>1122</v>
      </c>
      <c r="D13">
        <v>0</v>
      </c>
      <c r="AC13">
        <v>0</v>
      </c>
      <c r="AD13">
        <v>0</v>
      </c>
      <c r="AF13" t="s">
        <v>215</v>
      </c>
      <c r="AG13" t="s">
        <v>1905</v>
      </c>
      <c r="AY13" t="s">
        <v>1887</v>
      </c>
      <c r="AZ13" t="s">
        <v>1960</v>
      </c>
      <c r="BQ13" s="369"/>
      <c r="BR13" t="s">
        <v>1899</v>
      </c>
      <c r="BY13" t="str">
        <f>'Translate&amp;Prices&amp;Logo'!$B$558</f>
        <v>Horizontal (delivery is 4 weeks)</v>
      </c>
      <c r="BZ13">
        <v>1</v>
      </c>
      <c r="CA13">
        <v>288</v>
      </c>
      <c r="CD13" t="str">
        <f>CONCATENATE('Translate&amp;Prices&amp;Logo'!B664,"_kraby")</f>
        <v>bottom_kraby</v>
      </c>
      <c r="CE13">
        <v>1</v>
      </c>
      <c r="CF13">
        <v>0</v>
      </c>
      <c r="DN13" t="s">
        <v>452</v>
      </c>
      <c r="DO13" s="11" t="s">
        <v>98</v>
      </c>
      <c r="ED13" t="s">
        <v>3544</v>
      </c>
      <c r="EE13" t="s">
        <v>3543</v>
      </c>
      <c r="ER13" t="s">
        <v>3129</v>
      </c>
      <c r="ES13" t="s">
        <v>3129</v>
      </c>
    </row>
    <row r="14" spans="1:160">
      <c r="A14" t="str">
        <f>'Translate&amp;Prices&amp;Logo'!$B$16</f>
        <v>BRW dark stainless steel - maximum profile length 2500 mm</v>
      </c>
      <c r="B14">
        <v>1</v>
      </c>
      <c r="C14" t="s">
        <v>1122</v>
      </c>
      <c r="D14">
        <v>0</v>
      </c>
      <c r="F14">
        <f>'Translate&amp;Prices&amp;Logo'!$B$77</f>
        <v>0</v>
      </c>
      <c r="J14" t="b">
        <f>TRUE</f>
        <v>1</v>
      </c>
      <c r="K14">
        <v>1</v>
      </c>
      <c r="AA14" t="s">
        <v>3052</v>
      </c>
      <c r="AB14" t="s">
        <v>1946</v>
      </c>
      <c r="AF14" t="s">
        <v>216</v>
      </c>
      <c r="AG14" t="s">
        <v>1905</v>
      </c>
      <c r="AY14" t="s">
        <v>1887</v>
      </c>
      <c r="AZ14" t="s">
        <v>1961</v>
      </c>
      <c r="BQ14" s="369"/>
      <c r="BY14" t="str">
        <f>'Translate&amp;Prices&amp;Logo'!$B$559</f>
        <v>Vertical (delivery is 4 weeks)</v>
      </c>
      <c r="BZ14">
        <v>2</v>
      </c>
      <c r="CA14">
        <v>320</v>
      </c>
      <c r="CD14" t="s">
        <v>1913</v>
      </c>
      <c r="CE14">
        <v>1</v>
      </c>
      <c r="CF14">
        <v>0</v>
      </c>
      <c r="DN14" t="s">
        <v>453</v>
      </c>
      <c r="DO14" s="11" t="s">
        <v>99</v>
      </c>
      <c r="ED14" t="s">
        <v>2628</v>
      </c>
      <c r="EE14" t="s">
        <v>2722</v>
      </c>
      <c r="ER14" t="s">
        <v>3130</v>
      </c>
      <c r="ES14" t="s">
        <v>3130</v>
      </c>
    </row>
    <row r="15" spans="1:160">
      <c r="A15" t="str">
        <f>'Translate&amp;Prices&amp;Logo'!$B$13</f>
        <v>BRW gold - maximum profile length 2500 mm</v>
      </c>
      <c r="B15">
        <v>1</v>
      </c>
      <c r="C15" t="s">
        <v>1122</v>
      </c>
      <c r="D15">
        <v>1</v>
      </c>
      <c r="F15">
        <f>'Translate&amp;Prices&amp;Logo'!$B$78</f>
        <v>0</v>
      </c>
      <c r="J15" t="b">
        <f>FALSE</f>
        <v>0</v>
      </c>
      <c r="K15">
        <v>2</v>
      </c>
      <c r="AA15" t="s">
        <v>1899</v>
      </c>
      <c r="AB15" t="s">
        <v>1897</v>
      </c>
      <c r="AC15">
        <v>1</v>
      </c>
      <c r="AD15">
        <v>0</v>
      </c>
      <c r="AF15" t="s">
        <v>215</v>
      </c>
      <c r="AG15" t="s">
        <v>1907</v>
      </c>
      <c r="AY15" t="s">
        <v>3473</v>
      </c>
      <c r="BQ15" s="370"/>
      <c r="BY15" t="str">
        <f>'Translate&amp;Prices&amp;Logo'!$B$560</f>
        <v>Horizontal and vertical (delivery is 4 weeks)</v>
      </c>
      <c r="BZ15">
        <v>3</v>
      </c>
      <c r="CA15">
        <v>384</v>
      </c>
      <c r="CD15" t="s">
        <v>1914</v>
      </c>
      <c r="CE15">
        <v>1</v>
      </c>
      <c r="CF15">
        <v>0</v>
      </c>
      <c r="DN15" t="s">
        <v>2101</v>
      </c>
      <c r="DO15" s="11" t="s">
        <v>100</v>
      </c>
      <c r="ED15" t="s">
        <v>2629</v>
      </c>
      <c r="EE15" t="s">
        <v>2723</v>
      </c>
      <c r="ER15" t="s">
        <v>3131</v>
      </c>
      <c r="ES15" t="s">
        <v>3131</v>
      </c>
      <c r="FD15" s="388"/>
    </row>
    <row r="16" spans="1:160">
      <c r="A16" t="str">
        <f>'Translate&amp;Prices&amp;Logo'!$B$55</f>
        <v>BRW arany csiszolt - maximum profile length 2500 mm</v>
      </c>
      <c r="B16">
        <v>1</v>
      </c>
      <c r="C16" t="s">
        <v>1122</v>
      </c>
      <c r="D16">
        <v>0</v>
      </c>
      <c r="F16">
        <f>'Translate&amp;Prices&amp;Logo'!$B$79</f>
        <v>0</v>
      </c>
      <c r="AA16" t="s">
        <v>1899</v>
      </c>
      <c r="AB16" t="s">
        <v>1900</v>
      </c>
      <c r="AC16">
        <v>1</v>
      </c>
      <c r="AD16">
        <v>1</v>
      </c>
      <c r="AF16" t="s">
        <v>216</v>
      </c>
      <c r="AG16" t="s">
        <v>1907</v>
      </c>
      <c r="AY16" t="s">
        <v>3473</v>
      </c>
      <c r="AZ16" t="s">
        <v>3474</v>
      </c>
      <c r="CA16">
        <v>448</v>
      </c>
      <c r="CD16" t="str">
        <f>'Translate&amp;Prices&amp;Logo'!B659</f>
        <v>StrongLift_upper</v>
      </c>
      <c r="CE16">
        <v>1</v>
      </c>
      <c r="CF16">
        <v>1</v>
      </c>
      <c r="DN16" t="s">
        <v>528</v>
      </c>
      <c r="DO16" s="11" t="s">
        <v>98</v>
      </c>
      <c r="ED16" t="s">
        <v>2630</v>
      </c>
      <c r="EE16" t="s">
        <v>2724</v>
      </c>
      <c r="ER16" t="s">
        <v>3483</v>
      </c>
      <c r="ES16" t="s">
        <v>3483</v>
      </c>
      <c r="FD16" s="388"/>
    </row>
    <row r="17" spans="1:160">
      <c r="A17" t="str">
        <f>'Translate&amp;Prices&amp;Logo'!$B$17</f>
        <v>Corleone (elox.) - maximum profile length 1500 mm</v>
      </c>
      <c r="B17">
        <v>2</v>
      </c>
      <c r="C17" t="s">
        <v>1122</v>
      </c>
      <c r="D17">
        <v>0</v>
      </c>
      <c r="E17">
        <v>3</v>
      </c>
      <c r="F17">
        <f>'Translate&amp;Prices&amp;Logo'!$B$82</f>
        <v>0</v>
      </c>
      <c r="AA17" t="s">
        <v>1899</v>
      </c>
      <c r="AB17" t="str">
        <f>IF(Ram_5!AU7=2,"FREEspace"," ")</f>
        <v>FREEspace</v>
      </c>
      <c r="AC17">
        <v>0</v>
      </c>
      <c r="AD17">
        <v>0</v>
      </c>
      <c r="AF17" t="s">
        <v>215</v>
      </c>
      <c r="AG17" t="s">
        <v>1908</v>
      </c>
      <c r="AY17" t="s">
        <v>3473</v>
      </c>
      <c r="AZ17" t="s">
        <v>3475</v>
      </c>
      <c r="CA17">
        <v>480</v>
      </c>
      <c r="CD17" t="str">
        <f>'Translate&amp;Prices&amp;Logo'!B660</f>
        <v>StrongLift_bottom</v>
      </c>
      <c r="CE17">
        <v>1</v>
      </c>
      <c r="CF17">
        <v>1</v>
      </c>
      <c r="DN17" t="s">
        <v>2210</v>
      </c>
      <c r="DO17" s="11" t="s">
        <v>99</v>
      </c>
      <c r="ED17" t="s">
        <v>2631</v>
      </c>
      <c r="EE17" t="s">
        <v>2725</v>
      </c>
      <c r="ER17" t="s">
        <v>3485</v>
      </c>
      <c r="ES17" t="s">
        <v>3485</v>
      </c>
      <c r="FD17" s="388"/>
    </row>
    <row r="18" spans="1:160">
      <c r="A18" t="str">
        <f>'Translate&amp;Prices&amp;Logo'!$B$18</f>
        <v>Corleone black matt - maximum profile length 1500 mm</v>
      </c>
      <c r="B18">
        <v>2</v>
      </c>
      <c r="C18" t="s">
        <v>1122</v>
      </c>
      <c r="D18">
        <v>0</v>
      </c>
      <c r="E18">
        <v>3</v>
      </c>
      <c r="F18" t="str">
        <f>'Translate&amp;Prices&amp;Logo'!$B$80</f>
        <v>Rocca elox (Left and Right) + Varna elox (Top and Bottom)</v>
      </c>
      <c r="AA18" t="s">
        <v>1899</v>
      </c>
      <c r="AB18" t="s">
        <v>1903</v>
      </c>
      <c r="AC18">
        <v>0</v>
      </c>
      <c r="AD18">
        <v>0</v>
      </c>
      <c r="AF18" t="s">
        <v>216</v>
      </c>
      <c r="AG18" t="s">
        <v>1908</v>
      </c>
      <c r="AY18" t="s">
        <v>3473</v>
      </c>
      <c r="AZ18" t="s">
        <v>3476</v>
      </c>
      <c r="BY18">
        <v>1</v>
      </c>
      <c r="CA18">
        <v>576</v>
      </c>
      <c r="CD18" t="s">
        <v>1918</v>
      </c>
      <c r="CE18">
        <v>1</v>
      </c>
      <c r="CF18">
        <v>0</v>
      </c>
      <c r="DN18" t="s">
        <v>2211</v>
      </c>
      <c r="DO18" s="11" t="s">
        <v>100</v>
      </c>
      <c r="ED18" t="s">
        <v>2632</v>
      </c>
      <c r="EE18" t="s">
        <v>2726</v>
      </c>
      <c r="ER18" t="s">
        <v>3487</v>
      </c>
      <c r="ES18" t="s">
        <v>3487</v>
      </c>
    </row>
    <row r="19" spans="1:160">
      <c r="A19" t="str">
        <f>'Translate&amp;Prices&amp;Logo'!$B$59</f>
        <v>ASTI black matt - maximum profile length 2150 mm</v>
      </c>
      <c r="B19">
        <v>1</v>
      </c>
      <c r="C19" t="s">
        <v>1931</v>
      </c>
      <c r="D19">
        <v>0</v>
      </c>
      <c r="F19" t="str">
        <f>'Translate&amp;Prices&amp;Logo'!$B$81</f>
        <v>Rocca black (Left and right) + Varna black (Top and bottom)</v>
      </c>
      <c r="AA19" t="s">
        <v>1899</v>
      </c>
      <c r="AB19" t="s">
        <v>1904</v>
      </c>
      <c r="AC19">
        <v>0</v>
      </c>
      <c r="AD19">
        <v>0</v>
      </c>
      <c r="AF19" t="s">
        <v>215</v>
      </c>
      <c r="AG19" t="s">
        <v>1910</v>
      </c>
      <c r="AY19" t="s">
        <v>3473</v>
      </c>
      <c r="AZ19" t="s">
        <v>3477</v>
      </c>
      <c r="BY19">
        <v>2</v>
      </c>
      <c r="CA19">
        <v>672</v>
      </c>
      <c r="DN19" t="s">
        <v>2563</v>
      </c>
      <c r="DO19" t="s">
        <v>98</v>
      </c>
      <c r="ED19" t="s">
        <v>2633</v>
      </c>
      <c r="EE19" t="s">
        <v>2727</v>
      </c>
      <c r="ER19" t="s">
        <v>3489</v>
      </c>
      <c r="ES19" t="s">
        <v>3489</v>
      </c>
      <c r="FD19" s="388"/>
    </row>
    <row r="20" spans="1:160">
      <c r="A20" t="str">
        <f>'Translate&amp;Prices&amp;Logo'!$B$60</f>
        <v>ASTI anthracite RAL 7021 matt - maximum profile length 2500 mm</v>
      </c>
      <c r="B20">
        <v>1</v>
      </c>
      <c r="C20" t="s">
        <v>1931</v>
      </c>
      <c r="D20">
        <v>0</v>
      </c>
      <c r="AA20" t="s">
        <v>1899</v>
      </c>
      <c r="AB20" t="s">
        <v>1906</v>
      </c>
      <c r="AC20">
        <v>0</v>
      </c>
      <c r="AD20">
        <v>0</v>
      </c>
      <c r="AF20" t="s">
        <v>216</v>
      </c>
      <c r="AG20" t="s">
        <v>1910</v>
      </c>
      <c r="AY20" t="s">
        <v>3473</v>
      </c>
      <c r="AZ20" t="s">
        <v>3478</v>
      </c>
      <c r="BY20">
        <v>3</v>
      </c>
      <c r="CA20">
        <v>736</v>
      </c>
      <c r="DN20" t="s">
        <v>2420</v>
      </c>
      <c r="DO20" t="s">
        <v>99</v>
      </c>
      <c r="ED20" t="s">
        <v>2634</v>
      </c>
      <c r="EE20" t="s">
        <v>2728</v>
      </c>
      <c r="ER20" t="s">
        <v>3491</v>
      </c>
      <c r="ES20" t="s">
        <v>3491</v>
      </c>
      <c r="FD20" s="388"/>
    </row>
    <row r="21" spans="1:160">
      <c r="A21" t="str">
        <f>'Translate&amp;Prices&amp;Logo'!$B$19</f>
        <v>Imola (elox.) - maximum profile length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3493</v>
      </c>
      <c r="ES21" t="s">
        <v>3493</v>
      </c>
    </row>
    <row r="22" spans="1:160">
      <c r="A22" t="str">
        <f>'Translate&amp;Prices&amp;Logo'!$B$20</f>
        <v>Imola black matt - maximum profile length 2500 mm</v>
      </c>
      <c r="B22">
        <v>2</v>
      </c>
      <c r="C22" t="s">
        <v>1931</v>
      </c>
      <c r="D22">
        <v>0</v>
      </c>
      <c r="AA22" t="s">
        <v>1899</v>
      </c>
      <c r="AB22" t="s">
        <v>2058</v>
      </c>
      <c r="AC22">
        <v>1</v>
      </c>
      <c r="AD22">
        <v>0</v>
      </c>
      <c r="AF22" t="s">
        <v>216</v>
      </c>
      <c r="AG22" t="s">
        <v>1911</v>
      </c>
      <c r="BY22">
        <v>5</v>
      </c>
      <c r="CA22">
        <v>832</v>
      </c>
      <c r="DN22" s="487" t="s">
        <v>4952</v>
      </c>
      <c r="DO22" s="11" t="s">
        <v>98</v>
      </c>
      <c r="ED22" t="s">
        <v>2636</v>
      </c>
      <c r="EE22" t="s">
        <v>2730</v>
      </c>
      <c r="ER22" t="s">
        <v>3132</v>
      </c>
      <c r="ES22" t="s">
        <v>3132</v>
      </c>
    </row>
    <row r="23" spans="1:160">
      <c r="A23" t="str">
        <f>'Translate&amp;Prices&amp;Logo'!$B$21</f>
        <v>Imola white matt RAL 9003 - maximum profile length 2500 mm</v>
      </c>
      <c r="B23">
        <v>2</v>
      </c>
      <c r="C23" t="s">
        <v>1931</v>
      </c>
      <c r="D23">
        <v>0</v>
      </c>
      <c r="AA23" t="s">
        <v>1899</v>
      </c>
      <c r="AB23" t="s">
        <v>1907</v>
      </c>
      <c r="AC23">
        <v>1</v>
      </c>
      <c r="AD23">
        <v>0</v>
      </c>
      <c r="AF23" t="s">
        <v>215</v>
      </c>
      <c r="AG23" t="s">
        <v>1912</v>
      </c>
      <c r="BY23">
        <v>6</v>
      </c>
      <c r="CA23">
        <v>960</v>
      </c>
      <c r="DN23" s="487" t="s">
        <v>4953</v>
      </c>
      <c r="DO23" s="11" t="s">
        <v>99</v>
      </c>
      <c r="ED23" t="s">
        <v>2637</v>
      </c>
      <c r="EE23" t="s">
        <v>2731</v>
      </c>
      <c r="ER23" t="s">
        <v>3133</v>
      </c>
      <c r="ES23" t="s">
        <v>3133</v>
      </c>
    </row>
    <row r="24" spans="1:160">
      <c r="A24" t="str">
        <f>'Translate&amp;Prices&amp;Logo'!$B$45</f>
        <v>Imola gold - maximum profile length 2150 mm</v>
      </c>
      <c r="B24">
        <v>2</v>
      </c>
      <c r="C24" t="s">
        <v>1931</v>
      </c>
      <c r="D24">
        <v>0</v>
      </c>
      <c r="AF24" t="s">
        <v>216</v>
      </c>
      <c r="AG24" t="s">
        <v>1912</v>
      </c>
      <c r="BY24">
        <v>7</v>
      </c>
      <c r="DN24" s="487" t="s">
        <v>4954</v>
      </c>
      <c r="DO24" s="11" t="s">
        <v>100</v>
      </c>
      <c r="ED24" t="s">
        <v>2638</v>
      </c>
      <c r="EE24" t="s">
        <v>2732</v>
      </c>
      <c r="ER24" t="s">
        <v>3134</v>
      </c>
      <c r="ES24" t="s">
        <v>3134</v>
      </c>
    </row>
    <row r="25" spans="1:160">
      <c r="A25" t="str">
        <f>'Translate&amp;Prices&amp;Logo'!$B$22</f>
        <v>Modena (elox.) - maximum profile length 2500 mm</v>
      </c>
      <c r="B25">
        <v>2</v>
      </c>
      <c r="C25" t="s">
        <v>1122</v>
      </c>
      <c r="D25">
        <v>0</v>
      </c>
      <c r="AF25" t="s">
        <v>215</v>
      </c>
      <c r="AG25" t="s">
        <v>1913</v>
      </c>
      <c r="BY25">
        <v>8</v>
      </c>
      <c r="ED25" t="s">
        <v>2639</v>
      </c>
      <c r="EE25" t="s">
        <v>2733</v>
      </c>
      <c r="ER25" t="s">
        <v>3139</v>
      </c>
      <c r="ES25" t="s">
        <v>3139</v>
      </c>
    </row>
    <row r="26" spans="1:160">
      <c r="A26" t="str">
        <f>'Translate&amp;Prices&amp;Logo'!$B$23</f>
        <v>Modena black matt - maximum profile length 2500 mm</v>
      </c>
      <c r="B26">
        <v>2</v>
      </c>
      <c r="C26" t="s">
        <v>1122</v>
      </c>
      <c r="D26">
        <v>0</v>
      </c>
      <c r="AF26" t="s">
        <v>216</v>
      </c>
      <c r="AG26" t="s">
        <v>1913</v>
      </c>
      <c r="BY26">
        <v>9</v>
      </c>
      <c r="ED26" t="s">
        <v>2640</v>
      </c>
      <c r="EE26" t="s">
        <v>2734</v>
      </c>
      <c r="ER26" t="s">
        <v>3140</v>
      </c>
      <c r="ES26" t="s">
        <v>3140</v>
      </c>
    </row>
    <row r="27" spans="1:160">
      <c r="A27" t="str">
        <f>'Translate&amp;Prices&amp;Logo'!$B$25</f>
        <v>black black brushed - maximum profile length 2500 mm</v>
      </c>
      <c r="B27">
        <v>2</v>
      </c>
      <c r="C27" t="s">
        <v>1122</v>
      </c>
      <c r="D27">
        <v>0</v>
      </c>
      <c r="AF27" t="s">
        <v>215</v>
      </c>
      <c r="AG27" t="s">
        <v>1914</v>
      </c>
      <c r="BY27">
        <v>10</v>
      </c>
      <c r="ED27" t="s">
        <v>2641</v>
      </c>
      <c r="EE27" t="s">
        <v>2735</v>
      </c>
      <c r="ER27" t="s">
        <v>3141</v>
      </c>
      <c r="ES27" t="s">
        <v>3141</v>
      </c>
    </row>
    <row r="28" spans="1:160">
      <c r="A28" t="str">
        <f>'Translate&amp;Prices&amp;Logo'!$B$26</f>
        <v>Modena dark stainless steel brushed - maximum profile length 2500 mm</v>
      </c>
      <c r="B28">
        <v>2</v>
      </c>
      <c r="C28" t="s">
        <v>1122</v>
      </c>
      <c r="D28">
        <v>0</v>
      </c>
      <c r="AA28" t="s">
        <v>3053</v>
      </c>
      <c r="AB28" t="s">
        <v>1945</v>
      </c>
      <c r="AF28" t="s">
        <v>216</v>
      </c>
      <c r="AG28" t="s">
        <v>1914</v>
      </c>
      <c r="ED28" t="s">
        <v>2642</v>
      </c>
      <c r="EE28" t="s">
        <v>2736</v>
      </c>
      <c r="ER28" t="s">
        <v>3494</v>
      </c>
      <c r="ES28" t="s">
        <v>3494</v>
      </c>
    </row>
    <row r="29" spans="1:160">
      <c r="A29">
        <f>'Translate&amp;Prices&amp;Logo'!$B$27</f>
        <v>0</v>
      </c>
      <c r="B29">
        <v>2</v>
      </c>
      <c r="C29" t="s">
        <v>1122</v>
      </c>
      <c r="D29">
        <v>0</v>
      </c>
      <c r="AA29" t="s">
        <v>1909</v>
      </c>
      <c r="AB29" t="s">
        <v>1908</v>
      </c>
      <c r="AC29">
        <v>1</v>
      </c>
      <c r="AD29">
        <v>0</v>
      </c>
      <c r="AF29" t="s">
        <v>215</v>
      </c>
      <c r="AG29" t="s">
        <v>1915</v>
      </c>
      <c r="ED29" t="s">
        <v>2643</v>
      </c>
      <c r="EE29" t="s">
        <v>2737</v>
      </c>
      <c r="ER29" t="s">
        <v>3495</v>
      </c>
      <c r="ES29" t="s">
        <v>3495</v>
      </c>
    </row>
    <row r="30" spans="1:160">
      <c r="A30">
        <f>'Translate&amp;Prices&amp;Logo'!$B$28</f>
        <v>0</v>
      </c>
      <c r="B30">
        <v>2</v>
      </c>
      <c r="C30" t="s">
        <v>1122</v>
      </c>
      <c r="D30">
        <v>0</v>
      </c>
      <c r="AA30" t="s">
        <v>1909</v>
      </c>
      <c r="AB30" t="str">
        <f>CONCATENATE('Translate&amp;Prices&amp;Logo'!B664,"_K12")</f>
        <v>bottom_K12</v>
      </c>
      <c r="AC30">
        <v>1</v>
      </c>
      <c r="AD30">
        <v>0</v>
      </c>
      <c r="AF30" t="s">
        <v>216</v>
      </c>
      <c r="AG30" t="s">
        <v>1915</v>
      </c>
      <c r="ED30" t="s">
        <v>2644</v>
      </c>
      <c r="EE30" t="s">
        <v>2738</v>
      </c>
      <c r="ER30" t="s">
        <v>3496</v>
      </c>
      <c r="ES30" t="s">
        <v>3496</v>
      </c>
    </row>
    <row r="31" spans="1:160">
      <c r="A31" t="str">
        <f>'Translate&amp;Prices&amp;Logo'!$B$29</f>
        <v>Pisa (elox.) - maximum profile length 2500 mm</v>
      </c>
      <c r="B31">
        <v>2</v>
      </c>
      <c r="C31" t="s">
        <v>1931</v>
      </c>
      <c r="D31">
        <v>0</v>
      </c>
      <c r="AA31" t="s">
        <v>1909</v>
      </c>
      <c r="AB31" t="s">
        <v>1911</v>
      </c>
      <c r="AC31">
        <v>1</v>
      </c>
      <c r="AD31">
        <v>0</v>
      </c>
      <c r="AF31" t="s">
        <v>215</v>
      </c>
      <c r="AG31" t="s">
        <v>1916</v>
      </c>
      <c r="ED31" t="s">
        <v>2645</v>
      </c>
      <c r="EE31" t="s">
        <v>2739</v>
      </c>
      <c r="ER31" t="s">
        <v>3497</v>
      </c>
      <c r="ES31" t="s">
        <v>3497</v>
      </c>
    </row>
    <row r="32" spans="1:160">
      <c r="A32" t="str">
        <f>'Translate&amp;Prices&amp;Logo'!$B$53</f>
        <v>Pisa white gloss RAL 9003 - maximum profile length 2500 mm</v>
      </c>
      <c r="B32">
        <v>2</v>
      </c>
      <c r="C32" t="s">
        <v>1931</v>
      </c>
      <c r="D32">
        <v>0</v>
      </c>
      <c r="AA32" t="s">
        <v>1909</v>
      </c>
      <c r="AB32" t="str">
        <f>CONCATENATE('Translate&amp;Prices&amp;Logo'!B664,"_kraby")</f>
        <v>bottom_kraby</v>
      </c>
      <c r="AC32">
        <v>1</v>
      </c>
      <c r="AD32">
        <v>0</v>
      </c>
      <c r="AF32" t="s">
        <v>216</v>
      </c>
      <c r="AG32" t="s">
        <v>1916</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2646</v>
      </c>
      <c r="EE32" t="s">
        <v>2740</v>
      </c>
      <c r="ER32" t="s">
        <v>3498</v>
      </c>
      <c r="ES32" t="s">
        <v>3498</v>
      </c>
    </row>
    <row r="33" spans="1:149">
      <c r="A33" t="str">
        <f>'Translate&amp;Prices&amp;Logo'!$B$30</f>
        <v>Pisa black matt - maximum profile length 2500 mm</v>
      </c>
      <c r="B33">
        <v>2</v>
      </c>
      <c r="C33" t="s">
        <v>1931</v>
      </c>
      <c r="D33">
        <v>0</v>
      </c>
      <c r="AA33" t="s">
        <v>1909</v>
      </c>
      <c r="AB33" t="s">
        <v>1913</v>
      </c>
      <c r="AC33">
        <v>1</v>
      </c>
      <c r="AD33">
        <v>0</v>
      </c>
      <c r="AF33" t="s">
        <v>215</v>
      </c>
      <c r="AG33" t="s">
        <v>1918</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2647</v>
      </c>
      <c r="EE33" t="s">
        <v>2741</v>
      </c>
      <c r="ER33" t="s">
        <v>3499</v>
      </c>
      <c r="ES33" t="s">
        <v>3499</v>
      </c>
    </row>
    <row r="34" spans="1:149">
      <c r="A34" t="str">
        <f>'Translate&amp;Prices&amp;Logo'!$B$58</f>
        <v>Pisa gold - maximum profile length 2150 mm</v>
      </c>
      <c r="B34">
        <v>2</v>
      </c>
      <c r="C34" t="s">
        <v>1931</v>
      </c>
      <c r="D34">
        <v>0</v>
      </c>
      <c r="AB34" t="s">
        <v>1914</v>
      </c>
      <c r="AC34">
        <v>1</v>
      </c>
      <c r="AD34">
        <v>0</v>
      </c>
      <c r="AF34" t="s">
        <v>216</v>
      </c>
      <c r="AG34" t="s">
        <v>1918</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2648</v>
      </c>
      <c r="EE34" t="s">
        <v>2742</v>
      </c>
      <c r="ER34" t="s">
        <v>3142</v>
      </c>
      <c r="ES34" t="s">
        <v>3142</v>
      </c>
    </row>
    <row r="35" spans="1:149">
      <c r="A35" t="str">
        <f>'Translate&amp;Prices&amp;Logo'!$B$50</f>
        <v>Rocca (elox.) - maximum profile length 2150 mm</v>
      </c>
      <c r="B35">
        <v>1</v>
      </c>
      <c r="C35" t="s">
        <v>1122</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2649</v>
      </c>
      <c r="EE35" t="s">
        <v>2743</v>
      </c>
      <c r="ER35" t="s">
        <v>3143</v>
      </c>
      <c r="ES35" t="s">
        <v>3143</v>
      </c>
    </row>
    <row r="36" spans="1:149">
      <c r="A36" t="str">
        <f>'Translate&amp;Prices&amp;Logo'!$B$42</f>
        <v>Rocca black matt - maximum profile length 2150 mm</v>
      </c>
      <c r="B36">
        <v>1</v>
      </c>
      <c r="C36" t="s">
        <v>1122</v>
      </c>
      <c r="D36">
        <v>0</v>
      </c>
      <c r="ED36" t="s">
        <v>2588</v>
      </c>
      <c r="EE36" t="s">
        <v>2744</v>
      </c>
      <c r="ER36" t="s">
        <v>3144</v>
      </c>
      <c r="ES36" t="s">
        <v>3144</v>
      </c>
    </row>
    <row r="37" spans="1:149">
      <c r="A37">
        <f>'Translate&amp;Prices&amp;Logo'!$B$32</f>
        <v>0</v>
      </c>
      <c r="B37">
        <v>2</v>
      </c>
      <c r="C37" t="s">
        <v>1122</v>
      </c>
      <c r="D37">
        <v>0</v>
      </c>
      <c r="BY37" t="s">
        <v>2298</v>
      </c>
      <c r="ED37" t="s">
        <v>2589</v>
      </c>
      <c r="EE37" t="s">
        <v>2745</v>
      </c>
      <c r="ER37" t="s">
        <v>3189</v>
      </c>
      <c r="ES37" t="s">
        <v>3183</v>
      </c>
    </row>
    <row r="38" spans="1:149">
      <c r="A38">
        <f>'Translate&amp;Prices&amp;Logo'!$B$33</f>
        <v>0</v>
      </c>
      <c r="B38">
        <v>2</v>
      </c>
      <c r="C38" t="s">
        <v>1122</v>
      </c>
      <c r="D38">
        <v>0</v>
      </c>
      <c r="ED38" t="s">
        <v>2590</v>
      </c>
      <c r="EE38" t="s">
        <v>2746</v>
      </c>
      <c r="ER38" t="s">
        <v>3190</v>
      </c>
      <c r="ES38" t="s">
        <v>3184</v>
      </c>
    </row>
    <row r="39" spans="1:149">
      <c r="A39" t="str">
        <f>'Translate&amp;Prices&amp;Logo'!$B$34</f>
        <v>Verona (elox.) - maximum profile length 2500 mm</v>
      </c>
      <c r="B39">
        <v>1</v>
      </c>
      <c r="C39" t="s">
        <v>1122</v>
      </c>
      <c r="D39">
        <v>0</v>
      </c>
      <c r="AA39" t="s">
        <v>3537</v>
      </c>
      <c r="AB39" t="s">
        <v>3535</v>
      </c>
      <c r="ED39" t="s">
        <v>2591</v>
      </c>
      <c r="EE39" t="s">
        <v>2747</v>
      </c>
      <c r="ER39" t="s">
        <v>3191</v>
      </c>
      <c r="ES39" t="s">
        <v>3185</v>
      </c>
    </row>
    <row r="40" spans="1:149">
      <c r="A40" t="str">
        <f>'Translate&amp;Prices&amp;Logo'!$B$35</f>
        <v>Verona brushed aluminium - maximum profile length 2500 mm</v>
      </c>
      <c r="B40">
        <v>1</v>
      </c>
      <c r="C40" t="s">
        <v>1122</v>
      </c>
      <c r="D40">
        <v>0</v>
      </c>
      <c r="AA40" t="s">
        <v>3537</v>
      </c>
      <c r="AB40" t="str">
        <f>'Translate&amp;Prices&amp;Logo'!B659</f>
        <v>StrongLift_upper</v>
      </c>
      <c r="AC40">
        <v>1</v>
      </c>
      <c r="AD40">
        <v>0</v>
      </c>
      <c r="ED40" t="s">
        <v>2592</v>
      </c>
      <c r="EE40" t="s">
        <v>2748</v>
      </c>
      <c r="ER40" t="s">
        <v>3192</v>
      </c>
      <c r="ES40" t="s">
        <v>3186</v>
      </c>
    </row>
    <row r="41" spans="1:149">
      <c r="A41" t="str">
        <f>'Translate&amp;Prices&amp;Logo'!$B$37</f>
        <v>Verona black matt - maximum profile length 2500 mm</v>
      </c>
      <c r="B41">
        <v>1</v>
      </c>
      <c r="C41" t="s">
        <v>1122</v>
      </c>
      <c r="D41">
        <v>0</v>
      </c>
      <c r="AB41" t="str">
        <f>'Translate&amp;Prices&amp;Logo'!B660</f>
        <v>StrongLift_bottom</v>
      </c>
      <c r="AC41">
        <v>1</v>
      </c>
      <c r="AD41">
        <v>0</v>
      </c>
      <c r="ED41" t="s">
        <v>2593</v>
      </c>
      <c r="EE41" t="s">
        <v>2749</v>
      </c>
      <c r="ER41" t="s">
        <v>3193</v>
      </c>
      <c r="ES41" t="s">
        <v>3187</v>
      </c>
    </row>
    <row r="42" spans="1:149">
      <c r="A42" t="str">
        <f>'Translate&amp;Prices&amp;Logo'!$B$36</f>
        <v>Verona black gloss - maximum profile length 2500 mm</v>
      </c>
      <c r="B42">
        <v>1</v>
      </c>
      <c r="C42" t="s">
        <v>1122</v>
      </c>
      <c r="D42">
        <v>0</v>
      </c>
      <c r="AA42" t="s">
        <v>3054</v>
      </c>
      <c r="AB42" t="s">
        <v>1944</v>
      </c>
      <c r="ED42" t="s">
        <v>2594</v>
      </c>
      <c r="EE42" t="s">
        <v>2750</v>
      </c>
      <c r="ER42" t="s">
        <v>3194</v>
      </c>
      <c r="ES42" t="s">
        <v>3188</v>
      </c>
    </row>
    <row r="43" spans="1:149">
      <c r="A43" t="str">
        <f>'Translate&amp;Prices&amp;Logo'!$B$38</f>
        <v>Verona brown - maximum profile length 2500 mm</v>
      </c>
      <c r="B43">
        <v>1</v>
      </c>
      <c r="C43" t="s">
        <v>1122</v>
      </c>
      <c r="D43">
        <v>0</v>
      </c>
      <c r="AA43" t="s">
        <v>1917</v>
      </c>
      <c r="AB43" t="s">
        <v>2064</v>
      </c>
      <c r="AC43">
        <v>0</v>
      </c>
      <c r="AD43">
        <v>0</v>
      </c>
      <c r="ED43" t="s">
        <v>2595</v>
      </c>
      <c r="EE43" t="s">
        <v>2751</v>
      </c>
      <c r="ER43" t="s">
        <v>3508</v>
      </c>
      <c r="ES43" t="s">
        <v>3500</v>
      </c>
    </row>
    <row r="44" spans="1:149">
      <c r="A44" t="str">
        <f>'Translate&amp;Prices&amp;Logo'!$B$39</f>
        <v>Verona champagne - maximum profile length 2500 mm</v>
      </c>
      <c r="B44">
        <v>1</v>
      </c>
      <c r="C44" t="s">
        <v>1122</v>
      </c>
      <c r="D44">
        <v>0</v>
      </c>
      <c r="AA44" t="s">
        <v>1917</v>
      </c>
      <c r="AB44" t="s">
        <v>1918</v>
      </c>
      <c r="AC44">
        <v>1</v>
      </c>
      <c r="AD44">
        <v>0</v>
      </c>
      <c r="ED44" t="s">
        <v>2596</v>
      </c>
      <c r="EE44" t="s">
        <v>2752</v>
      </c>
      <c r="ER44" t="s">
        <v>3509</v>
      </c>
      <c r="ES44" t="s">
        <v>3501</v>
      </c>
    </row>
    <row r="45" spans="1:149">
      <c r="A45" t="str">
        <f>'Translate&amp;Prices&amp;Logo'!$B$40</f>
        <v>Verona dark stainless steel brushed - maximum profile length 2500 mm</v>
      </c>
      <c r="B45">
        <v>1</v>
      </c>
      <c r="C45" t="s">
        <v>1122</v>
      </c>
      <c r="D45">
        <v>0</v>
      </c>
      <c r="AB45" t="s">
        <v>2065</v>
      </c>
      <c r="AC45">
        <v>0</v>
      </c>
      <c r="AD45">
        <v>0</v>
      </c>
      <c r="ED45" t="s">
        <v>2597</v>
      </c>
      <c r="EE45" t="s">
        <v>2753</v>
      </c>
      <c r="ER45" t="s">
        <v>3213</v>
      </c>
      <c r="ES45" t="s">
        <v>3207</v>
      </c>
    </row>
    <row r="46" spans="1:149">
      <c r="A46" t="str">
        <f>'Translate&amp;Prices&amp;Logo'!$B$41</f>
        <v>Verona light stainless steel (Acier grata) - maximum profile length 2500 mm</v>
      </c>
      <c r="B46">
        <v>1</v>
      </c>
      <c r="C46" t="s">
        <v>1122</v>
      </c>
      <c r="D46">
        <v>0</v>
      </c>
      <c r="ED46" t="s">
        <v>2598</v>
      </c>
      <c r="EE46" t="s">
        <v>2754</v>
      </c>
      <c r="ER46" t="s">
        <v>3214</v>
      </c>
      <c r="ES46" t="s">
        <v>3208</v>
      </c>
    </row>
    <row r="47" spans="1:149">
      <c r="A47" t="str">
        <f>'Translate&amp;Prices&amp;Logo'!$B$24</f>
        <v>Verona gold - maximum profile length 2150 mm</v>
      </c>
      <c r="B47">
        <v>1</v>
      </c>
      <c r="C47" t="s">
        <v>1122</v>
      </c>
      <c r="D47">
        <v>0</v>
      </c>
      <c r="ED47" t="s">
        <v>2599</v>
      </c>
      <c r="EE47" t="s">
        <v>2755</v>
      </c>
      <c r="ER47" t="s">
        <v>3215</v>
      </c>
      <c r="ES47" t="s">
        <v>3209</v>
      </c>
    </row>
    <row r="48" spans="1:149">
      <c r="A48" t="str">
        <f>'Translate&amp;Prices&amp;Logo'!$B$56</f>
        <v>Verona gold brushed - maximum profile length 2150 mm</v>
      </c>
      <c r="B48">
        <v>1</v>
      </c>
      <c r="C48" t="s">
        <v>1122</v>
      </c>
      <c r="D48">
        <v>0</v>
      </c>
      <c r="ED48" t="s">
        <v>2600</v>
      </c>
      <c r="EE48" t="s">
        <v>2756</v>
      </c>
      <c r="ER48" t="s">
        <v>3216</v>
      </c>
      <c r="ES48" t="s">
        <v>3210</v>
      </c>
    </row>
    <row r="49" spans="1:149">
      <c r="A49" t="str">
        <f>'Translate&amp;Prices&amp;Logo'!$B$43</f>
        <v>Vivaro (elox.) - maximum profile length 2500 mm</v>
      </c>
      <c r="B49">
        <v>2</v>
      </c>
      <c r="C49" t="s">
        <v>1122</v>
      </c>
      <c r="D49">
        <v>1</v>
      </c>
      <c r="AA49" t="s">
        <v>3055</v>
      </c>
      <c r="AB49" t="s">
        <v>3057</v>
      </c>
      <c r="ED49" t="s">
        <v>2601</v>
      </c>
      <c r="EE49" t="s">
        <v>2757</v>
      </c>
      <c r="ER49" t="s">
        <v>3217</v>
      </c>
      <c r="ES49" t="s">
        <v>3211</v>
      </c>
    </row>
    <row r="50" spans="1:149">
      <c r="A50" t="str">
        <f>'Translate&amp;Prices&amp;Logo'!$B$44</f>
        <v>Vivaro black matt - maximum profile length 2500 mm</v>
      </c>
      <c r="B50">
        <v>2</v>
      </c>
      <c r="C50" t="s">
        <v>1122</v>
      </c>
      <c r="D50">
        <v>1</v>
      </c>
      <c r="AB50" t="s">
        <v>3408</v>
      </c>
      <c r="AC50">
        <v>0</v>
      </c>
      <c r="AD50">
        <v>0</v>
      </c>
      <c r="ED50" t="s">
        <v>2602</v>
      </c>
      <c r="EE50" t="s">
        <v>2758</v>
      </c>
      <c r="ER50" t="s">
        <v>3218</v>
      </c>
      <c r="ES50" t="s">
        <v>3212</v>
      </c>
    </row>
    <row r="51" spans="1:149">
      <c r="A51" t="str">
        <f>'Translate&amp;Prices&amp;Logo'!$B$46</f>
        <v>Vivaro dark stainless steel - maximum profile length 2500 mm</v>
      </c>
      <c r="B51">
        <v>2</v>
      </c>
      <c r="C51" t="s">
        <v>1122</v>
      </c>
      <c r="D51">
        <v>0</v>
      </c>
      <c r="AB51" t="s">
        <v>3410</v>
      </c>
      <c r="AC51">
        <v>0</v>
      </c>
      <c r="AD51">
        <v>0</v>
      </c>
      <c r="ED51" t="s">
        <v>2603</v>
      </c>
      <c r="EE51" t="s">
        <v>2759</v>
      </c>
      <c r="ER51" t="s">
        <v>3510</v>
      </c>
      <c r="ES51" t="s">
        <v>3502</v>
      </c>
    </row>
    <row r="52" spans="1:149">
      <c r="A52" t="str">
        <f>'Translate&amp;Prices&amp;Logo'!$B$47</f>
        <v>Vivaro white matt RAL 9003 - maximum profile length 2500 mm</v>
      </c>
      <c r="B52">
        <v>2</v>
      </c>
      <c r="C52" t="s">
        <v>1122</v>
      </c>
      <c r="D52">
        <v>0</v>
      </c>
      <c r="AB52" t="s">
        <v>3405</v>
      </c>
      <c r="AC52">
        <v>0</v>
      </c>
      <c r="AD52">
        <v>0</v>
      </c>
      <c r="ED52" t="s">
        <v>2604</v>
      </c>
      <c r="EE52" t="s">
        <v>2760</v>
      </c>
      <c r="ER52" t="s">
        <v>3511</v>
      </c>
      <c r="ES52" t="s">
        <v>3503</v>
      </c>
    </row>
    <row r="53" spans="1:149">
      <c r="A53" t="str">
        <f>'Translate&amp;Prices&amp;Logo'!$B$48</f>
        <v>Vivaro white gloss RAL 9003 - maximum profile length 2500 mm</v>
      </c>
      <c r="B53">
        <v>2</v>
      </c>
      <c r="C53" t="s">
        <v>1122</v>
      </c>
      <c r="D53">
        <v>0</v>
      </c>
      <c r="AB53" t="s">
        <v>3406</v>
      </c>
      <c r="AC53">
        <v>0</v>
      </c>
      <c r="AD53">
        <v>0</v>
      </c>
      <c r="ED53" t="s">
        <v>2605</v>
      </c>
      <c r="EE53" t="s">
        <v>2761</v>
      </c>
      <c r="ER53" t="s">
        <v>3512</v>
      </c>
      <c r="ES53" t="s">
        <v>3504</v>
      </c>
    </row>
    <row r="54" spans="1:149">
      <c r="A54" t="str">
        <f>'Translate&amp;Prices&amp;Logo'!$B$31</f>
        <v>Vivaro gold - maximum profile length 2150 mm</v>
      </c>
      <c r="B54">
        <v>2</v>
      </c>
      <c r="C54" t="s">
        <v>1122</v>
      </c>
      <c r="D54">
        <v>1</v>
      </c>
      <c r="ED54" t="s">
        <v>2606</v>
      </c>
      <c r="EE54" t="s">
        <v>2762</v>
      </c>
      <c r="ER54" t="s">
        <v>3513</v>
      </c>
      <c r="ES54" t="s">
        <v>3505</v>
      </c>
    </row>
    <row r="55" spans="1:149">
      <c r="A55" t="str">
        <f>'Translate&amp;Prices&amp;Logo'!$B$57</f>
        <v>Vivaro gold brushed - maximum profile length 2150 mm</v>
      </c>
      <c r="B55">
        <v>2</v>
      </c>
      <c r="C55" t="s">
        <v>1122</v>
      </c>
      <c r="D55">
        <v>0</v>
      </c>
      <c r="ED55" t="s">
        <v>2607</v>
      </c>
      <c r="EE55" t="s">
        <v>2763</v>
      </c>
      <c r="ER55" t="s">
        <v>3514</v>
      </c>
      <c r="ES55" t="s">
        <v>3506</v>
      </c>
    </row>
    <row r="56" spans="1:149">
      <c r="A56">
        <f>'Translate&amp;Prices&amp;Logo'!$B$77</f>
        <v>0</v>
      </c>
      <c r="B56">
        <v>3</v>
      </c>
      <c r="C56" t="s">
        <v>1122</v>
      </c>
      <c r="D56">
        <v>0</v>
      </c>
      <c r="ED56" t="s">
        <v>2608</v>
      </c>
      <c r="EE56" t="s">
        <v>2764</v>
      </c>
      <c r="ER56" t="s">
        <v>3515</v>
      </c>
      <c r="ES56" t="s">
        <v>3507</v>
      </c>
    </row>
    <row r="57" spans="1:149">
      <c r="A57">
        <f>'Translate&amp;Prices&amp;Logo'!$B$78</f>
        <v>0</v>
      </c>
      <c r="B57">
        <v>3</v>
      </c>
      <c r="C57" t="s">
        <v>1122</v>
      </c>
      <c r="D57">
        <v>0</v>
      </c>
      <c r="ED57" t="s">
        <v>2609</v>
      </c>
      <c r="EE57" t="s">
        <v>2765</v>
      </c>
      <c r="ER57" t="s">
        <v>3195</v>
      </c>
      <c r="ES57" t="s">
        <v>3183</v>
      </c>
    </row>
    <row r="58" spans="1:149">
      <c r="A58">
        <f>'Translate&amp;Prices&amp;Logo'!$B$79</f>
        <v>0</v>
      </c>
      <c r="B58">
        <v>3</v>
      </c>
      <c r="C58" t="s">
        <v>1122</v>
      </c>
      <c r="D58">
        <v>0</v>
      </c>
      <c r="ED58" t="s">
        <v>2610</v>
      </c>
      <c r="EE58" t="s">
        <v>2766</v>
      </c>
      <c r="ER58" t="s">
        <v>3196</v>
      </c>
      <c r="ES58" t="s">
        <v>3184</v>
      </c>
    </row>
    <row r="59" spans="1:149">
      <c r="A59">
        <f>'Translate&amp;Prices&amp;Logo'!$B$82</f>
        <v>0</v>
      </c>
      <c r="B59">
        <v>3</v>
      </c>
      <c r="C59" t="s">
        <v>1122</v>
      </c>
      <c r="D59">
        <v>0</v>
      </c>
      <c r="AA59" t="s">
        <v>3056</v>
      </c>
      <c r="AB59" t="s">
        <v>3058</v>
      </c>
      <c r="ED59" t="s">
        <v>2611</v>
      </c>
      <c r="EE59" t="s">
        <v>2767</v>
      </c>
      <c r="ER59" t="s">
        <v>3197</v>
      </c>
      <c r="ES59" t="s">
        <v>3185</v>
      </c>
    </row>
    <row r="60" spans="1:149">
      <c r="A60" t="str">
        <f>'Translate&amp;Prices&amp;Logo'!$B$80</f>
        <v>Rocca elox (Left and Right) + Varna elox (Top and Bottom)</v>
      </c>
      <c r="B60">
        <v>3</v>
      </c>
      <c r="C60" t="s">
        <v>1122</v>
      </c>
      <c r="D60">
        <v>0</v>
      </c>
      <c r="AB60" t="s">
        <v>1901</v>
      </c>
      <c r="AC60">
        <v>0</v>
      </c>
      <c r="AD60">
        <v>0</v>
      </c>
      <c r="ED60" t="s">
        <v>2612</v>
      </c>
      <c r="EE60" t="s">
        <v>2768</v>
      </c>
      <c r="ER60" t="s">
        <v>3198</v>
      </c>
      <c r="ES60" t="s">
        <v>3186</v>
      </c>
    </row>
    <row r="61" spans="1:149">
      <c r="A61" t="str">
        <f>'Translate&amp;Prices&amp;Logo'!$B$81</f>
        <v>Rocca black (Left and right) + Varna black (Top and bottom)</v>
      </c>
      <c r="B61">
        <v>3</v>
      </c>
      <c r="C61" t="s">
        <v>1122</v>
      </c>
      <c r="D61">
        <v>0</v>
      </c>
      <c r="AB61" t="s">
        <v>1903</v>
      </c>
      <c r="AC61">
        <v>0</v>
      </c>
      <c r="AD61">
        <v>0</v>
      </c>
      <c r="ED61" t="s">
        <v>2613</v>
      </c>
      <c r="EE61" t="s">
        <v>2769</v>
      </c>
      <c r="ER61" t="s">
        <v>3199</v>
      </c>
      <c r="ES61" t="s">
        <v>3187</v>
      </c>
    </row>
    <row r="62" spans="1:149">
      <c r="A62" t="str">
        <f>'Translate&amp;Prices&amp;Logo'!$B$71</f>
        <v>ROMA black matt  - maximum profile length 2696 mm</v>
      </c>
      <c r="B62">
        <v>1</v>
      </c>
      <c r="C62" t="s">
        <v>1122</v>
      </c>
      <c r="D62">
        <v>0</v>
      </c>
      <c r="AB62" t="s">
        <v>1904</v>
      </c>
      <c r="AC62">
        <v>0</v>
      </c>
      <c r="AD62">
        <v>0</v>
      </c>
      <c r="ED62" t="s">
        <v>2614</v>
      </c>
      <c r="EE62" t="s">
        <v>2770</v>
      </c>
      <c r="ER62" t="s">
        <v>3200</v>
      </c>
      <c r="ES62" t="s">
        <v>3188</v>
      </c>
    </row>
    <row r="63" spans="1:149">
      <c r="A63" t="str">
        <f>'Translate&amp;Prices&amp;Logo'!$B$72</f>
        <v>ROMA champagne matt  - maximum profile length 2696 mm</v>
      </c>
      <c r="B63">
        <v>1</v>
      </c>
      <c r="C63" t="s">
        <v>1122</v>
      </c>
      <c r="D63">
        <v>0</v>
      </c>
      <c r="AB63" t="s">
        <v>1906</v>
      </c>
      <c r="AC63">
        <v>0</v>
      </c>
      <c r="AD63">
        <v>0</v>
      </c>
      <c r="ED63" t="s">
        <v>2615</v>
      </c>
      <c r="EE63" t="s">
        <v>2771</v>
      </c>
      <c r="ER63" t="s">
        <v>3516</v>
      </c>
      <c r="ES63" t="s">
        <v>3500</v>
      </c>
    </row>
    <row r="64" spans="1:149">
      <c r="A64" t="str">
        <f>'Translate&amp;Prices&amp;Logo'!$B$73</f>
        <v>ROMA GRIP black matt  - maximum profile length 2696 mm</v>
      </c>
      <c r="B64">
        <v>1</v>
      </c>
      <c r="C64" t="s">
        <v>1122</v>
      </c>
      <c r="D64">
        <v>0</v>
      </c>
      <c r="ED64" t="s">
        <v>2616</v>
      </c>
      <c r="EE64" t="s">
        <v>2772</v>
      </c>
      <c r="ER64" t="s">
        <v>3517</v>
      </c>
      <c r="ES64" t="s">
        <v>3501</v>
      </c>
    </row>
    <row r="65" spans="1:149">
      <c r="A65" t="str">
        <f>'Translate&amp;Prices&amp;Logo'!$B$74</f>
        <v>ROMA GRIP champagne matt  - maximum profile length 2696 mm</v>
      </c>
      <c r="B65">
        <v>1</v>
      </c>
      <c r="C65" t="s">
        <v>1122</v>
      </c>
      <c r="D65">
        <v>0</v>
      </c>
      <c r="ED65" t="s">
        <v>2650</v>
      </c>
      <c r="EE65" t="s">
        <v>2711</v>
      </c>
      <c r="ER65" t="s">
        <v>3219</v>
      </c>
      <c r="ES65" t="s">
        <v>3207</v>
      </c>
    </row>
    <row r="66" spans="1:149">
      <c r="ED66" t="s">
        <v>2651</v>
      </c>
      <c r="EE66" t="s">
        <v>2712</v>
      </c>
      <c r="ER66" t="s">
        <v>3220</v>
      </c>
      <c r="ES66" t="s">
        <v>3208</v>
      </c>
    </row>
    <row r="67" spans="1:149">
      <c r="Q67" t="str">
        <f>'Translate&amp;Prices&amp;Logo'!$B$69</f>
        <v>BRW champagne - maximum profile length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3518</v>
      </c>
      <c r="ES71" t="s">
        <v>3502</v>
      </c>
    </row>
    <row r="72" spans="1:149">
      <c r="ED72" t="s">
        <v>2657</v>
      </c>
      <c r="EE72" t="s">
        <v>2718</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3526</v>
      </c>
      <c r="ES91" t="s">
        <v>3502</v>
      </c>
    </row>
    <row r="92" spans="134:149">
      <c r="ED92" t="s">
        <v>2675</v>
      </c>
      <c r="EE92" t="s">
        <v>2737</v>
      </c>
      <c r="ER92" t="s">
        <v>3527</v>
      </c>
      <c r="ES92" t="s">
        <v>3503</v>
      </c>
    </row>
    <row r="93" spans="134:149">
      <c r="ED93" t="s">
        <v>2676</v>
      </c>
      <c r="EE93" t="s">
        <v>2738</v>
      </c>
      <c r="ER93" t="s">
        <v>3528</v>
      </c>
      <c r="ES93" t="s">
        <v>3504</v>
      </c>
    </row>
    <row r="94" spans="134:149">
      <c r="ED94" t="s">
        <v>2677</v>
      </c>
      <c r="EE94" t="s">
        <v>2739</v>
      </c>
      <c r="ER94" t="s">
        <v>3529</v>
      </c>
      <c r="ES94" t="s">
        <v>3505</v>
      </c>
    </row>
    <row r="95" spans="134:149">
      <c r="ED95" t="s">
        <v>2678</v>
      </c>
      <c r="EE95" t="s">
        <v>2740</v>
      </c>
      <c r="ER95" t="s">
        <v>3530</v>
      </c>
      <c r="ES95" t="s">
        <v>3506</v>
      </c>
    </row>
    <row r="96" spans="134:149">
      <c r="ED96" t="s">
        <v>2679</v>
      </c>
      <c r="EE96" t="s">
        <v>2741</v>
      </c>
      <c r="ER96" t="s">
        <v>3531</v>
      </c>
      <c r="ES96" t="s">
        <v>3507</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8"/>
      <c r="ED222" t="s">
        <v>2804</v>
      </c>
      <c r="EE222" t="s">
        <v>2741</v>
      </c>
    </row>
    <row r="223" spans="124:135">
      <c r="DT223" s="338"/>
      <c r="ED223" t="s">
        <v>2805</v>
      </c>
      <c r="EE223" t="s">
        <v>2742</v>
      </c>
    </row>
    <row r="224" spans="124:135">
      <c r="DT224" s="338"/>
      <c r="ED224" t="s">
        <v>2806</v>
      </c>
      <c r="EE224" t="s">
        <v>2743</v>
      </c>
    </row>
    <row r="225" spans="124:135">
      <c r="DT225" s="338"/>
      <c r="ED225" t="s">
        <v>2807</v>
      </c>
      <c r="EE225" t="s">
        <v>2744</v>
      </c>
    </row>
    <row r="226" spans="124:135">
      <c r="DT226" s="366"/>
      <c r="ED226" t="s">
        <v>2808</v>
      </c>
      <c r="EE226" t="s">
        <v>2745</v>
      </c>
    </row>
    <row r="227" spans="124:135">
      <c r="DT227" s="366"/>
      <c r="ED227" t="s">
        <v>2809</v>
      </c>
      <c r="EE227" t="s">
        <v>2746</v>
      </c>
    </row>
    <row r="228" spans="124:135">
      <c r="DT228" s="366"/>
      <c r="ED228" t="s">
        <v>2810</v>
      </c>
      <c r="EE228" t="s">
        <v>2747</v>
      </c>
    </row>
    <row r="229" spans="124:135">
      <c r="DT229" s="366"/>
      <c r="ED229" t="s">
        <v>2811</v>
      </c>
      <c r="EE229" t="s">
        <v>2748</v>
      </c>
    </row>
    <row r="230" spans="124:135">
      <c r="DT230" s="365"/>
      <c r="ED230" t="s">
        <v>2812</v>
      </c>
      <c r="EE230" t="s">
        <v>2749</v>
      </c>
    </row>
    <row r="231" spans="124:135">
      <c r="DT231" s="365"/>
      <c r="ED231" t="s">
        <v>2813</v>
      </c>
      <c r="EE231" t="s">
        <v>2750</v>
      </c>
    </row>
    <row r="232" spans="124:135">
      <c r="DT232" s="365"/>
      <c r="ED232" t="s">
        <v>2814</v>
      </c>
      <c r="EE232" t="s">
        <v>2751</v>
      </c>
    </row>
    <row r="233" spans="124:135">
      <c r="DT233" s="365"/>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5"/>
      <c r="ED238" t="s">
        <v>2820</v>
      </c>
      <c r="EE238" t="s">
        <v>2757</v>
      </c>
    </row>
    <row r="239" spans="124:135">
      <c r="DT239" s="365"/>
      <c r="ED239" t="s">
        <v>2821</v>
      </c>
      <c r="EE239" t="s">
        <v>2758</v>
      </c>
    </row>
    <row r="240" spans="124:135">
      <c r="DT240" s="365"/>
      <c r="ED240" t="s">
        <v>2822</v>
      </c>
      <c r="EE240" t="s">
        <v>2759</v>
      </c>
    </row>
    <row r="241" spans="124:135">
      <c r="DT241" s="365"/>
      <c r="ED241" t="s">
        <v>2823</v>
      </c>
      <c r="EE241" t="s">
        <v>2760</v>
      </c>
    </row>
    <row r="242" spans="124:135">
      <c r="DT242" s="351"/>
      <c r="ED242" t="s">
        <v>2824</v>
      </c>
      <c r="EE242" t="s">
        <v>2761</v>
      </c>
    </row>
    <row r="243" spans="124:135">
      <c r="ED243" t="s">
        <v>2825</v>
      </c>
      <c r="EE243" t="s">
        <v>2762</v>
      </c>
    </row>
    <row r="244" spans="124:135">
      <c r="DT244" s="351"/>
      <c r="ED244" t="s">
        <v>2826</v>
      </c>
      <c r="EE244" t="s">
        <v>2763</v>
      </c>
    </row>
    <row r="245" spans="124:135">
      <c r="DT245" s="351"/>
      <c r="ED245" t="s">
        <v>2827</v>
      </c>
      <c r="EE245" t="s">
        <v>2764</v>
      </c>
    </row>
    <row r="246" spans="124:135">
      <c r="DT246" s="351"/>
      <c r="ED246" t="s">
        <v>2828</v>
      </c>
      <c r="EE246" t="s">
        <v>2765</v>
      </c>
    </row>
    <row r="247" spans="124:135">
      <c r="DT247" s="387"/>
      <c r="ED247" t="s">
        <v>2829</v>
      </c>
      <c r="EE247" t="s">
        <v>2766</v>
      </c>
    </row>
    <row r="248" spans="124:135">
      <c r="DT248" s="387"/>
      <c r="ED248" t="s">
        <v>2830</v>
      </c>
      <c r="EE248" t="s">
        <v>2767</v>
      </c>
    </row>
    <row r="249" spans="124:135">
      <c r="DT249" s="387"/>
      <c r="ED249" t="s">
        <v>2831</v>
      </c>
      <c r="EE249" t="s">
        <v>2768</v>
      </c>
    </row>
    <row r="250" spans="124:135">
      <c r="DT250" s="387"/>
      <c r="ED250" t="s">
        <v>2832</v>
      </c>
      <c r="EE250" t="s">
        <v>2769</v>
      </c>
    </row>
    <row r="251" spans="124:135">
      <c r="DT251" s="387"/>
      <c r="ED251" t="s">
        <v>2833</v>
      </c>
      <c r="EE251" t="s">
        <v>2770</v>
      </c>
    </row>
    <row r="252" spans="124:135">
      <c r="DT252" s="387"/>
      <c r="ED252" t="s">
        <v>2834</v>
      </c>
      <c r="EE252" t="s">
        <v>2771</v>
      </c>
    </row>
    <row r="253" spans="124:135">
      <c r="DT253" s="387"/>
      <c r="ED253" t="s">
        <v>2835</v>
      </c>
      <c r="EE253" t="s">
        <v>2772</v>
      </c>
    </row>
    <row r="254" spans="124:135">
      <c r="DT254" s="387"/>
      <c r="ED254" t="s">
        <v>2836</v>
      </c>
      <c r="EE254" t="s">
        <v>2711</v>
      </c>
    </row>
    <row r="255" spans="124:135">
      <c r="DT255" s="387"/>
      <c r="ED255" t="s">
        <v>2837</v>
      </c>
      <c r="EE255" t="s">
        <v>2712</v>
      </c>
    </row>
    <row r="256" spans="124:135">
      <c r="DT256" s="387"/>
      <c r="ED256" t="s">
        <v>2838</v>
      </c>
      <c r="EE256" t="s">
        <v>2713</v>
      </c>
    </row>
    <row r="257" spans="118:135">
      <c r="ED257" t="s">
        <v>2839</v>
      </c>
      <c r="EE257" t="s">
        <v>2714</v>
      </c>
    </row>
    <row r="258" spans="118:135">
      <c r="ED258" t="s">
        <v>2840</v>
      </c>
      <c r="EE258" t="s">
        <v>2715</v>
      </c>
    </row>
    <row r="259" spans="118:135">
      <c r="DN259" s="351"/>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6"/>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8"/>
      <c r="DU292" s="365"/>
      <c r="ED292" t="s">
        <v>2874</v>
      </c>
      <c r="EE292" t="s">
        <v>2748</v>
      </c>
    </row>
    <row r="293" spans="124:135">
      <c r="DT293" s="338"/>
      <c r="DU293" s="365"/>
      <c r="ED293" t="s">
        <v>2875</v>
      </c>
      <c r="EE293" t="s">
        <v>2749</v>
      </c>
    </row>
    <row r="294" spans="124:135">
      <c r="DT294" s="338"/>
      <c r="DU294" s="365"/>
      <c r="ED294" t="s">
        <v>2876</v>
      </c>
      <c r="EE294" t="s">
        <v>2750</v>
      </c>
    </row>
    <row r="295" spans="124:135">
      <c r="DT295" s="338"/>
      <c r="DU295" s="365"/>
      <c r="ED295" t="s">
        <v>2877</v>
      </c>
      <c r="EE295" t="s">
        <v>2751</v>
      </c>
    </row>
    <row r="296" spans="124:135">
      <c r="DT296" s="366"/>
      <c r="DU296" s="365"/>
      <c r="ED296" t="s">
        <v>2878</v>
      </c>
      <c r="EE296" t="s">
        <v>2752</v>
      </c>
    </row>
    <row r="297" spans="124:135">
      <c r="DT297" s="366"/>
      <c r="DU297" s="365"/>
      <c r="ED297" t="s">
        <v>2879</v>
      </c>
      <c r="EE297" t="s">
        <v>2753</v>
      </c>
    </row>
    <row r="298" spans="124:135">
      <c r="DT298" s="366"/>
      <c r="DU298" s="365"/>
      <c r="ED298" t="s">
        <v>2880</v>
      </c>
      <c r="EE298" t="s">
        <v>2754</v>
      </c>
    </row>
    <row r="299" spans="124:135">
      <c r="DT299" s="366"/>
      <c r="DU299" s="365"/>
      <c r="ED299" t="s">
        <v>2881</v>
      </c>
      <c r="EE299" t="s">
        <v>2755</v>
      </c>
    </row>
    <row r="300" spans="124:135">
      <c r="DT300" s="365"/>
      <c r="DU300" s="365"/>
      <c r="ED300" t="s">
        <v>2882</v>
      </c>
      <c r="EE300" t="s">
        <v>2756</v>
      </c>
    </row>
    <row r="301" spans="124:135">
      <c r="DT301" s="365"/>
      <c r="DU301" s="365"/>
      <c r="ED301" t="s">
        <v>2883</v>
      </c>
      <c r="EE301" t="s">
        <v>2757</v>
      </c>
    </row>
    <row r="302" spans="124:135">
      <c r="DT302" s="365"/>
      <c r="DU302" s="365"/>
      <c r="ED302" t="s">
        <v>2884</v>
      </c>
      <c r="EE302" t="s">
        <v>2758</v>
      </c>
    </row>
    <row r="303" spans="124:135">
      <c r="DT303" s="365"/>
      <c r="DU303" s="365"/>
      <c r="ED303" t="s">
        <v>2885</v>
      </c>
      <c r="EE303" t="s">
        <v>2759</v>
      </c>
    </row>
    <row r="304" spans="124:135">
      <c r="DT304" s="168"/>
      <c r="DU304" s="365"/>
      <c r="ED304" t="s">
        <v>2886</v>
      </c>
      <c r="EE304" t="s">
        <v>2760</v>
      </c>
    </row>
    <row r="305" spans="124:135">
      <c r="DT305" s="168"/>
      <c r="DU305" s="365"/>
      <c r="ED305" t="s">
        <v>2887</v>
      </c>
      <c r="EE305" t="s">
        <v>2761</v>
      </c>
    </row>
    <row r="306" spans="124:135">
      <c r="DT306" s="168"/>
      <c r="DU306" s="365"/>
      <c r="ED306" t="s">
        <v>2888</v>
      </c>
      <c r="EE306" t="s">
        <v>2762</v>
      </c>
    </row>
    <row r="307" spans="124:135">
      <c r="DT307" s="168"/>
      <c r="DU307" s="365"/>
      <c r="ED307" t="s">
        <v>2889</v>
      </c>
      <c r="EE307" t="s">
        <v>2763</v>
      </c>
    </row>
    <row r="308" spans="124:135">
      <c r="DT308" s="365"/>
      <c r="DU308" s="365"/>
      <c r="ED308" t="s">
        <v>2890</v>
      </c>
      <c r="EE308" t="s">
        <v>2764</v>
      </c>
    </row>
    <row r="309" spans="124:135">
      <c r="DT309" s="365"/>
      <c r="DU309" s="365"/>
      <c r="ED309" t="s">
        <v>2891</v>
      </c>
      <c r="EE309" t="s">
        <v>2765</v>
      </c>
    </row>
    <row r="310" spans="124:135">
      <c r="DT310" s="365"/>
      <c r="DU310" s="365"/>
      <c r="ED310" t="s">
        <v>2892</v>
      </c>
      <c r="EE310" t="s">
        <v>2766</v>
      </c>
    </row>
    <row r="311" spans="124:135">
      <c r="DT311" s="365"/>
      <c r="DU311" s="365"/>
      <c r="ED311" t="s">
        <v>2893</v>
      </c>
      <c r="EE311" t="s">
        <v>2767</v>
      </c>
    </row>
    <row r="312" spans="124:135">
      <c r="DT312" s="387"/>
      <c r="DU312" s="387"/>
      <c r="ED312" t="s">
        <v>2894</v>
      </c>
      <c r="EE312" t="s">
        <v>2768</v>
      </c>
    </row>
    <row r="313" spans="124:135">
      <c r="DT313" s="387"/>
      <c r="DU313" s="387"/>
      <c r="ED313" t="s">
        <v>2895</v>
      </c>
      <c r="EE313" t="s">
        <v>2769</v>
      </c>
    </row>
    <row r="314" spans="124:135">
      <c r="DT314" s="387"/>
      <c r="DU314" s="387"/>
      <c r="ED314" t="s">
        <v>2896</v>
      </c>
      <c r="EE314" t="s">
        <v>2770</v>
      </c>
    </row>
    <row r="315" spans="124:135">
      <c r="DT315" s="387"/>
      <c r="DU315" s="387"/>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6" t="s">
        <v>3590</v>
      </c>
      <c r="EE331" t="s">
        <v>3588</v>
      </c>
    </row>
    <row r="332" spans="134:135">
      <c r="ED332" t="s">
        <v>3591</v>
      </c>
      <c r="EE332" t="s">
        <v>3589</v>
      </c>
    </row>
    <row r="333" spans="134:135">
      <c r="ED333" t="s">
        <v>3689</v>
      </c>
      <c r="EE333" t="s">
        <v>3690</v>
      </c>
    </row>
    <row r="334" spans="134:135">
      <c r="ED334" t="s">
        <v>3691</v>
      </c>
      <c r="EE334" t="s">
        <v>3692</v>
      </c>
    </row>
    <row r="335" spans="134:135">
      <c r="ED335" t="s">
        <v>3693</v>
      </c>
      <c r="EE335" t="s">
        <v>3694</v>
      </c>
    </row>
    <row r="336" spans="134:135">
      <c r="ED336" t="s">
        <v>3695</v>
      </c>
      <c r="EE336" t="s">
        <v>3696</v>
      </c>
    </row>
    <row r="337" spans="134:135">
      <c r="ED337" t="s">
        <v>3697</v>
      </c>
      <c r="EE337" t="s">
        <v>3698</v>
      </c>
    </row>
    <row r="338" spans="134:135">
      <c r="ED338" t="s">
        <v>3699</v>
      </c>
      <c r="EE338" t="s">
        <v>3700</v>
      </c>
    </row>
    <row r="339" spans="134:135">
      <c r="ED339" t="s">
        <v>3701</v>
      </c>
      <c r="EE339" t="s">
        <v>3702</v>
      </c>
    </row>
    <row r="340" spans="134:135">
      <c r="ED340" t="s">
        <v>3703</v>
      </c>
      <c r="EE340" t="s">
        <v>3704</v>
      </c>
    </row>
    <row r="341" spans="134:135">
      <c r="ED341" t="s">
        <v>3705</v>
      </c>
      <c r="EE341" t="s">
        <v>3706</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8"/>
      <c r="ED353" t="s">
        <v>3728</v>
      </c>
      <c r="EE353" t="s">
        <v>3729</v>
      </c>
    </row>
    <row r="354" spans="127:135">
      <c r="DW354" s="338"/>
      <c r="ED354" t="s">
        <v>3730</v>
      </c>
      <c r="EE354" t="s">
        <v>3731</v>
      </c>
    </row>
    <row r="355" spans="127:135">
      <c r="DW355" s="338"/>
      <c r="ED355" t="s">
        <v>3732</v>
      </c>
      <c r="EE355" t="s">
        <v>3733</v>
      </c>
    </row>
    <row r="356" spans="127:135">
      <c r="DW356" s="338"/>
      <c r="ED356" t="s">
        <v>3734</v>
      </c>
      <c r="EE356" t="s">
        <v>3735</v>
      </c>
    </row>
    <row r="357" spans="127:135">
      <c r="DW357" s="338"/>
      <c r="ED357" t="s">
        <v>3736</v>
      </c>
      <c r="EE357" t="s">
        <v>3737</v>
      </c>
    </row>
    <row r="358" spans="127:135">
      <c r="DW358" s="338"/>
      <c r="ED358" t="s">
        <v>3738</v>
      </c>
      <c r="EE358" t="s">
        <v>3739</v>
      </c>
    </row>
    <row r="359" spans="127:135">
      <c r="DW359" s="168"/>
      <c r="ED359" t="s">
        <v>3740</v>
      </c>
      <c r="EE359" t="s">
        <v>3741</v>
      </c>
    </row>
    <row r="360" spans="127:135">
      <c r="DW360" s="338"/>
      <c r="ED360" t="s">
        <v>3742</v>
      </c>
      <c r="EE360" t="s">
        <v>3743</v>
      </c>
    </row>
    <row r="361" spans="127:135">
      <c r="DW361" s="338"/>
      <c r="ED361" t="s">
        <v>3744</v>
      </c>
      <c r="EE361" t="s">
        <v>3745</v>
      </c>
    </row>
    <row r="362" spans="127:135">
      <c r="DW362" s="338"/>
      <c r="ED362" t="s">
        <v>3746</v>
      </c>
      <c r="EE362" t="s">
        <v>3747</v>
      </c>
    </row>
    <row r="363" spans="127:135">
      <c r="DW363" s="338"/>
      <c r="ED363" t="s">
        <v>3748</v>
      </c>
      <c r="EE363" t="s">
        <v>3749</v>
      </c>
    </row>
    <row r="364" spans="127:135">
      <c r="ED364" t="s">
        <v>3750</v>
      </c>
      <c r="EE364" t="s">
        <v>3751</v>
      </c>
    </row>
    <row r="365" spans="127:135">
      <c r="ED365" t="s">
        <v>3752</v>
      </c>
      <c r="EE365" t="s">
        <v>3753</v>
      </c>
    </row>
    <row r="366" spans="127:135">
      <c r="ED366" t="s">
        <v>3754</v>
      </c>
      <c r="EE366" t="s">
        <v>3755</v>
      </c>
    </row>
    <row r="367" spans="127:135">
      <c r="ED367" t="s">
        <v>3756</v>
      </c>
      <c r="EE367" t="s">
        <v>3757</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3690</v>
      </c>
    </row>
    <row r="399" spans="134:135">
      <c r="ED399" t="s">
        <v>3819</v>
      </c>
      <c r="EE399" t="s">
        <v>3692</v>
      </c>
    </row>
    <row r="400" spans="134:135">
      <c r="ED400" t="s">
        <v>3820</v>
      </c>
      <c r="EE400" t="s">
        <v>3694</v>
      </c>
    </row>
    <row r="401" spans="128:135">
      <c r="ED401" t="s">
        <v>3821</v>
      </c>
      <c r="EE401" t="s">
        <v>3696</v>
      </c>
    </row>
    <row r="402" spans="128:135">
      <c r="ED402" t="s">
        <v>3822</v>
      </c>
      <c r="EE402" t="s">
        <v>3698</v>
      </c>
    </row>
    <row r="403" spans="128:135">
      <c r="ED403" t="s">
        <v>3823</v>
      </c>
      <c r="EE403" t="s">
        <v>3700</v>
      </c>
    </row>
    <row r="404" spans="128:135">
      <c r="ED404" t="s">
        <v>3824</v>
      </c>
      <c r="EE404" t="s">
        <v>3702</v>
      </c>
    </row>
    <row r="405" spans="128:135">
      <c r="ED405" t="s">
        <v>3825</v>
      </c>
      <c r="EE405" t="s">
        <v>3704</v>
      </c>
    </row>
    <row r="406" spans="128:135">
      <c r="ED406" t="s">
        <v>3826</v>
      </c>
      <c r="EE406" t="s">
        <v>3706</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6"/>
      <c r="ED414" t="s">
        <v>3834</v>
      </c>
      <c r="EE414" t="s">
        <v>3722</v>
      </c>
    </row>
    <row r="415" spans="128:135">
      <c r="DX415" s="286"/>
      <c r="ED415" t="s">
        <v>3835</v>
      </c>
      <c r="EE415" t="s">
        <v>3724</v>
      </c>
    </row>
    <row r="416" spans="128:135">
      <c r="DX416" s="286"/>
      <c r="ED416" t="s">
        <v>3836</v>
      </c>
      <c r="EE416" t="s">
        <v>3726</v>
      </c>
    </row>
    <row r="417" spans="128:135">
      <c r="DX417" s="286"/>
      <c r="ED417" t="s">
        <v>3837</v>
      </c>
      <c r="EE417" t="s">
        <v>3727</v>
      </c>
    </row>
    <row r="418" spans="128:135">
      <c r="DX418" s="286"/>
      <c r="ED418" t="s">
        <v>3688</v>
      </c>
      <c r="EE418" t="s">
        <v>3729</v>
      </c>
    </row>
    <row r="419" spans="128:135">
      <c r="ED419" t="s">
        <v>3838</v>
      </c>
      <c r="EE419" t="s">
        <v>3731</v>
      </c>
    </row>
    <row r="420" spans="128:135">
      <c r="ED420" t="s">
        <v>3839</v>
      </c>
      <c r="EE420" t="s">
        <v>3733</v>
      </c>
    </row>
    <row r="421" spans="128:135">
      <c r="ED421" t="s">
        <v>3840</v>
      </c>
      <c r="EE421" t="s">
        <v>3735</v>
      </c>
    </row>
    <row r="422" spans="128:135">
      <c r="ED422" t="s">
        <v>3841</v>
      </c>
      <c r="EE422" t="s">
        <v>3737</v>
      </c>
    </row>
    <row r="423" spans="128:135">
      <c r="ED423" t="s">
        <v>3842</v>
      </c>
      <c r="EE423" t="s">
        <v>3739</v>
      </c>
    </row>
    <row r="424" spans="128:135">
      <c r="ED424" t="s">
        <v>3843</v>
      </c>
      <c r="EE424" t="s">
        <v>3741</v>
      </c>
    </row>
    <row r="425" spans="128:135">
      <c r="ED425" t="s">
        <v>3844</v>
      </c>
      <c r="EE425" t="s">
        <v>3743</v>
      </c>
    </row>
    <row r="426" spans="128:135">
      <c r="ED426" t="s">
        <v>3845</v>
      </c>
      <c r="EE426" t="s">
        <v>3745</v>
      </c>
    </row>
    <row r="427" spans="128:135">
      <c r="ED427" t="s">
        <v>3846</v>
      </c>
      <c r="EE427" t="s">
        <v>3747</v>
      </c>
    </row>
    <row r="428" spans="128:135">
      <c r="ED428" t="s">
        <v>3847</v>
      </c>
      <c r="EE428" t="s">
        <v>3749</v>
      </c>
    </row>
    <row r="429" spans="128:135">
      <c r="ED429" t="s">
        <v>3848</v>
      </c>
      <c r="EE429" t="s">
        <v>3751</v>
      </c>
    </row>
    <row r="430" spans="128:135">
      <c r="ED430" t="s">
        <v>3849</v>
      </c>
      <c r="EE430" t="s">
        <v>3753</v>
      </c>
    </row>
    <row r="431" spans="128:135">
      <c r="ED431" t="s">
        <v>3850</v>
      </c>
      <c r="EE431" t="s">
        <v>3755</v>
      </c>
    </row>
    <row r="432" spans="128:135">
      <c r="ED432" t="s">
        <v>3851</v>
      </c>
      <c r="EE432" t="s">
        <v>3757</v>
      </c>
    </row>
    <row r="433" spans="134:135">
      <c r="ED433" t="s">
        <v>3852</v>
      </c>
      <c r="EE433" t="s">
        <v>3759</v>
      </c>
    </row>
    <row r="434" spans="134:135">
      <c r="ED434" t="s">
        <v>3853</v>
      </c>
      <c r="EE434" t="s">
        <v>3761</v>
      </c>
    </row>
    <row r="435" spans="134:135">
      <c r="ED435" t="s">
        <v>3854</v>
      </c>
      <c r="EE435" t="s">
        <v>3763</v>
      </c>
    </row>
    <row r="436" spans="134:135">
      <c r="ED436" t="s">
        <v>3855</v>
      </c>
      <c r="EE436" t="s">
        <v>3765</v>
      </c>
    </row>
    <row r="437" spans="134:135">
      <c r="ED437" t="s">
        <v>3856</v>
      </c>
      <c r="EE437" t="s">
        <v>3767</v>
      </c>
    </row>
    <row r="438" spans="134:135">
      <c r="ED438" t="s">
        <v>3857</v>
      </c>
      <c r="EE438" t="s">
        <v>3769</v>
      </c>
    </row>
    <row r="439" spans="134:135">
      <c r="ED439" t="s">
        <v>3858</v>
      </c>
      <c r="EE439" t="s">
        <v>3771</v>
      </c>
    </row>
    <row r="440" spans="134:135">
      <c r="ED440" t="s">
        <v>3859</v>
      </c>
      <c r="EE440" t="s">
        <v>3773</v>
      </c>
    </row>
    <row r="441" spans="134:135">
      <c r="ED441" t="s">
        <v>3860</v>
      </c>
      <c r="EE441" t="s">
        <v>3775</v>
      </c>
    </row>
    <row r="442" spans="134:135">
      <c r="ED442" t="s">
        <v>3861</v>
      </c>
      <c r="EE442" t="s">
        <v>3777</v>
      </c>
    </row>
    <row r="443" spans="134:135">
      <c r="ED443" t="s">
        <v>3862</v>
      </c>
      <c r="EE443" t="s">
        <v>3779</v>
      </c>
    </row>
    <row r="444" spans="134:135">
      <c r="ED444" t="s">
        <v>3863</v>
      </c>
      <c r="EE444" t="s">
        <v>3781</v>
      </c>
    </row>
    <row r="445" spans="134:135">
      <c r="ED445" t="s">
        <v>3864</v>
      </c>
      <c r="EE445" t="s">
        <v>3783</v>
      </c>
    </row>
    <row r="446" spans="134:135">
      <c r="ED446" t="s">
        <v>3865</v>
      </c>
      <c r="EE446" t="s">
        <v>3785</v>
      </c>
    </row>
    <row r="447" spans="134:135">
      <c r="ED447" t="s">
        <v>3866</v>
      </c>
      <c r="EE447" t="s">
        <v>3787</v>
      </c>
    </row>
    <row r="448" spans="134:135">
      <c r="ED448" t="s">
        <v>3867</v>
      </c>
      <c r="EE448" t="s">
        <v>3789</v>
      </c>
    </row>
    <row r="449" spans="134:135">
      <c r="ED449" t="s">
        <v>3868</v>
      </c>
      <c r="EE449" t="s">
        <v>3791</v>
      </c>
    </row>
    <row r="450" spans="134:135">
      <c r="ED450" t="s">
        <v>3869</v>
      </c>
      <c r="EE450" t="s">
        <v>3793</v>
      </c>
    </row>
    <row r="451" spans="134:135">
      <c r="ED451" t="s">
        <v>3870</v>
      </c>
      <c r="EE451" t="s">
        <v>3795</v>
      </c>
    </row>
    <row r="452" spans="134:135">
      <c r="ED452" t="s">
        <v>3871</v>
      </c>
      <c r="EE452" t="s">
        <v>3797</v>
      </c>
    </row>
    <row r="453" spans="134:135">
      <c r="ED453" t="s">
        <v>3872</v>
      </c>
      <c r="EE453" t="s">
        <v>3799</v>
      </c>
    </row>
    <row r="454" spans="134:135">
      <c r="ED454" t="s">
        <v>3873</v>
      </c>
      <c r="EE454" t="s">
        <v>3801</v>
      </c>
    </row>
    <row r="455" spans="134:135">
      <c r="ED455" t="s">
        <v>3874</v>
      </c>
      <c r="EE455" t="s">
        <v>3803</v>
      </c>
    </row>
    <row r="456" spans="134:135">
      <c r="ED456" t="s">
        <v>3875</v>
      </c>
      <c r="EE456" t="s">
        <v>3805</v>
      </c>
    </row>
    <row r="457" spans="134:135">
      <c r="ED457" t="s">
        <v>3876</v>
      </c>
      <c r="EE457" t="s">
        <v>3807</v>
      </c>
    </row>
    <row r="458" spans="134:135">
      <c r="ED458" t="s">
        <v>3877</v>
      </c>
      <c r="EE458" t="s">
        <v>3809</v>
      </c>
    </row>
    <row r="459" spans="134:135">
      <c r="ED459" t="s">
        <v>3878</v>
      </c>
      <c r="EE459" t="s">
        <v>3811</v>
      </c>
    </row>
    <row r="460" spans="134:135">
      <c r="ED460" t="s">
        <v>3879</v>
      </c>
      <c r="EE460" t="s">
        <v>3813</v>
      </c>
    </row>
    <row r="461" spans="134:135">
      <c r="ED461" t="s">
        <v>3880</v>
      </c>
      <c r="EE461" t="s">
        <v>3815</v>
      </c>
    </row>
    <row r="462" spans="134:135">
      <c r="ED462" t="s">
        <v>3881</v>
      </c>
      <c r="EE462" t="s">
        <v>3817</v>
      </c>
    </row>
    <row r="463" spans="134:135">
      <c r="ED463" t="s">
        <v>3690</v>
      </c>
      <c r="EE463" t="s">
        <v>3690</v>
      </c>
    </row>
    <row r="464" spans="134:135">
      <c r="ED464" t="s">
        <v>3692</v>
      </c>
      <c r="EE464" t="s">
        <v>3692</v>
      </c>
    </row>
    <row r="465" spans="134:135">
      <c r="ED465" t="s">
        <v>3694</v>
      </c>
      <c r="EE465" t="s">
        <v>3694</v>
      </c>
    </row>
    <row r="466" spans="134:135">
      <c r="ED466" t="s">
        <v>3696</v>
      </c>
      <c r="EE466" t="s">
        <v>3696</v>
      </c>
    </row>
    <row r="467" spans="134:135">
      <c r="ED467" t="s">
        <v>3698</v>
      </c>
      <c r="EE467" t="s">
        <v>3698</v>
      </c>
    </row>
    <row r="468" spans="134:135">
      <c r="ED468" t="s">
        <v>3700</v>
      </c>
      <c r="EE468" t="s">
        <v>3700</v>
      </c>
    </row>
    <row r="469" spans="134:135">
      <c r="ED469" t="s">
        <v>3702</v>
      </c>
      <c r="EE469" t="s">
        <v>3702</v>
      </c>
    </row>
    <row r="470" spans="134:135">
      <c r="ED470" t="s">
        <v>3704</v>
      </c>
      <c r="EE470" t="s">
        <v>3704</v>
      </c>
    </row>
    <row r="471" spans="134:135">
      <c r="ED471" t="s">
        <v>3706</v>
      </c>
      <c r="EE471" t="s">
        <v>3706</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3733</v>
      </c>
    </row>
    <row r="486" spans="134:135">
      <c r="ED486" t="s">
        <v>3735</v>
      </c>
      <c r="EE486" t="s">
        <v>3735</v>
      </c>
    </row>
    <row r="487" spans="134:135">
      <c r="ED487" t="s">
        <v>3737</v>
      </c>
      <c r="EE487" t="s">
        <v>3737</v>
      </c>
    </row>
    <row r="488" spans="134:135">
      <c r="ED488" t="s">
        <v>3739</v>
      </c>
      <c r="EE488" t="s">
        <v>3739</v>
      </c>
    </row>
    <row r="489" spans="134:135">
      <c r="ED489" t="s">
        <v>3741</v>
      </c>
      <c r="EE489" t="s">
        <v>3741</v>
      </c>
    </row>
    <row r="490" spans="134:135">
      <c r="ED490" t="s">
        <v>3743</v>
      </c>
      <c r="EE490" t="s">
        <v>3743</v>
      </c>
    </row>
    <row r="491" spans="134:135">
      <c r="ED491" t="s">
        <v>3745</v>
      </c>
      <c r="EE491" t="s">
        <v>3745</v>
      </c>
    </row>
    <row r="492" spans="134:135">
      <c r="ED492" t="s">
        <v>3747</v>
      </c>
      <c r="EE492" t="s">
        <v>3747</v>
      </c>
    </row>
    <row r="493" spans="134:135">
      <c r="ED493" t="s">
        <v>3749</v>
      </c>
      <c r="EE493" t="s">
        <v>3749</v>
      </c>
    </row>
    <row r="494" spans="134:135">
      <c r="ED494" t="s">
        <v>3751</v>
      </c>
      <c r="EE494" t="s">
        <v>3751</v>
      </c>
    </row>
    <row r="495" spans="134:135">
      <c r="ED495" t="s">
        <v>3753</v>
      </c>
      <c r="EE495" t="s">
        <v>3753</v>
      </c>
    </row>
    <row r="496" spans="134:135">
      <c r="ED496" t="s">
        <v>3755</v>
      </c>
      <c r="EE496" t="s">
        <v>3755</v>
      </c>
    </row>
    <row r="497" spans="124:135">
      <c r="DT497" s="351"/>
      <c r="ED497" t="s">
        <v>3757</v>
      </c>
      <c r="EE497" t="s">
        <v>3757</v>
      </c>
    </row>
    <row r="498" spans="124:135">
      <c r="DT498" s="351"/>
      <c r="ED498" t="s">
        <v>3759</v>
      </c>
      <c r="EE498" t="s">
        <v>3759</v>
      </c>
    </row>
    <row r="499" spans="124:135">
      <c r="DT499" s="351"/>
      <c r="ED499" t="s">
        <v>3761</v>
      </c>
      <c r="EE499" t="s">
        <v>3761</v>
      </c>
    </row>
    <row r="500" spans="124:135">
      <c r="DT500" s="351"/>
      <c r="ED500" t="s">
        <v>3763</v>
      </c>
      <c r="EE500" t="s">
        <v>3763</v>
      </c>
    </row>
    <row r="501" spans="124:135">
      <c r="DT501" s="351"/>
      <c r="ED501" t="s">
        <v>3765</v>
      </c>
      <c r="EE501" t="s">
        <v>3765</v>
      </c>
    </row>
    <row r="502" spans="124:135">
      <c r="DT502" s="351"/>
      <c r="ED502" t="s">
        <v>3767</v>
      </c>
      <c r="EE502" t="s">
        <v>3767</v>
      </c>
    </row>
    <row r="503" spans="124:135">
      <c r="DT503" s="351"/>
      <c r="ED503" t="s">
        <v>3769</v>
      </c>
      <c r="EE503" t="s">
        <v>3769</v>
      </c>
    </row>
    <row r="504" spans="124:135">
      <c r="DT504" s="351"/>
      <c r="ED504" t="s">
        <v>3771</v>
      </c>
      <c r="EE504" t="s">
        <v>3771</v>
      </c>
    </row>
    <row r="505" spans="124:135">
      <c r="DT505" s="286"/>
      <c r="ED505" t="s">
        <v>3773</v>
      </c>
      <c r="EE505" t="s">
        <v>3773</v>
      </c>
    </row>
    <row r="506" spans="124:135">
      <c r="DT506" s="352"/>
      <c r="ED506" t="s">
        <v>3775</v>
      </c>
      <c r="EE506" t="s">
        <v>3775</v>
      </c>
    </row>
    <row r="507" spans="124:135">
      <c r="DT507" s="352"/>
      <c r="ED507" t="s">
        <v>3777</v>
      </c>
      <c r="EE507" t="s">
        <v>3777</v>
      </c>
    </row>
    <row r="508" spans="124:135">
      <c r="DT508" s="352"/>
      <c r="ED508" t="s">
        <v>3779</v>
      </c>
      <c r="EE508" t="s">
        <v>3779</v>
      </c>
    </row>
    <row r="509" spans="124:135">
      <c r="DT509" s="352"/>
      <c r="ED509" t="s">
        <v>3781</v>
      </c>
      <c r="EE509" t="s">
        <v>3781</v>
      </c>
    </row>
    <row r="510" spans="124:135">
      <c r="DT510" s="352"/>
      <c r="ED510" t="s">
        <v>3783</v>
      </c>
      <c r="EE510" t="s">
        <v>3783</v>
      </c>
    </row>
    <row r="511" spans="124:135">
      <c r="DT511" s="352"/>
      <c r="ED511" t="s">
        <v>3785</v>
      </c>
      <c r="EE511" t="s">
        <v>3785</v>
      </c>
    </row>
    <row r="512" spans="124:135">
      <c r="DT512" s="352"/>
      <c r="ED512" t="s">
        <v>3787</v>
      </c>
      <c r="EE512" t="s">
        <v>3787</v>
      </c>
    </row>
    <row r="513" spans="124:135">
      <c r="DT513" s="352"/>
      <c r="ED513" t="s">
        <v>3789</v>
      </c>
      <c r="EE513" t="s">
        <v>3789</v>
      </c>
    </row>
    <row r="514" spans="124:135">
      <c r="DT514" s="352"/>
      <c r="ED514" t="s">
        <v>3791</v>
      </c>
      <c r="EE514" t="s">
        <v>3791</v>
      </c>
    </row>
    <row r="515" spans="124:135">
      <c r="DT515" s="352"/>
      <c r="ED515" t="s">
        <v>3793</v>
      </c>
      <c r="EE515" t="s">
        <v>3793</v>
      </c>
    </row>
    <row r="516" spans="124:135">
      <c r="DT516" s="352"/>
      <c r="ED516" t="s">
        <v>3795</v>
      </c>
      <c r="EE516" t="s">
        <v>3795</v>
      </c>
    </row>
    <row r="517" spans="124:135">
      <c r="DT517" s="352"/>
      <c r="ED517" t="s">
        <v>3797</v>
      </c>
      <c r="EE517" t="s">
        <v>3797</v>
      </c>
    </row>
    <row r="518" spans="124:135">
      <c r="DT518" s="352"/>
      <c r="ED518" t="s">
        <v>3799</v>
      </c>
      <c r="EE518" t="s">
        <v>3799</v>
      </c>
    </row>
    <row r="519" spans="124:135">
      <c r="DT519" s="351"/>
      <c r="DU519" s="351"/>
      <c r="ED519" t="s">
        <v>3801</v>
      </c>
      <c r="EE519" t="s">
        <v>3801</v>
      </c>
    </row>
    <row r="520" spans="124:135">
      <c r="DT520" s="351"/>
      <c r="DU520" s="351"/>
      <c r="ED520" t="s">
        <v>3803</v>
      </c>
      <c r="EE520" t="s">
        <v>3803</v>
      </c>
    </row>
    <row r="521" spans="124:135">
      <c r="DT521" s="351"/>
      <c r="DU521" s="351"/>
      <c r="ED521" t="s">
        <v>3805</v>
      </c>
      <c r="EE521" t="s">
        <v>3805</v>
      </c>
    </row>
    <row r="522" spans="124:135">
      <c r="DT522" s="352"/>
      <c r="DU522" s="352"/>
      <c r="ED522" t="s">
        <v>3807</v>
      </c>
      <c r="EE522" t="s">
        <v>3807</v>
      </c>
    </row>
    <row r="523" spans="124:135">
      <c r="DT523" s="352"/>
      <c r="DU523" s="352"/>
      <c r="ED523" t="s">
        <v>3809</v>
      </c>
      <c r="EE523" t="s">
        <v>3809</v>
      </c>
    </row>
    <row r="524" spans="124:135">
      <c r="DT524" s="352"/>
      <c r="DU524" s="352"/>
      <c r="ED524" t="s">
        <v>3811</v>
      </c>
      <c r="EE524" t="s">
        <v>3811</v>
      </c>
    </row>
    <row r="525" spans="124:135">
      <c r="DT525" s="352"/>
      <c r="DU525" s="352"/>
      <c r="ED525" t="s">
        <v>3813</v>
      </c>
      <c r="EE525" t="s">
        <v>3813</v>
      </c>
    </row>
    <row r="526" spans="124:135">
      <c r="DT526" s="352"/>
      <c r="DU526" s="352"/>
      <c r="ED526" t="s">
        <v>3815</v>
      </c>
      <c r="EE526" t="s">
        <v>3815</v>
      </c>
    </row>
    <row r="527" spans="124:135">
      <c r="DT527" s="352"/>
      <c r="DU527" s="352"/>
      <c r="ED527" t="s">
        <v>3817</v>
      </c>
      <c r="EE527" t="s">
        <v>3817</v>
      </c>
    </row>
    <row r="528" spans="124:135">
      <c r="DT528" s="352"/>
      <c r="DU528" s="352"/>
      <c r="ED528" t="s">
        <v>3882</v>
      </c>
      <c r="EE528" t="s">
        <v>3690</v>
      </c>
    </row>
    <row r="529" spans="124:135">
      <c r="DT529" s="352"/>
      <c r="DU529" s="352"/>
      <c r="ED529" t="s">
        <v>3883</v>
      </c>
      <c r="EE529" t="s">
        <v>3692</v>
      </c>
    </row>
    <row r="530" spans="124:135">
      <c r="DT530" s="352"/>
      <c r="DU530" s="352"/>
      <c r="ED530" t="s">
        <v>3884</v>
      </c>
      <c r="EE530" t="s">
        <v>3694</v>
      </c>
    </row>
    <row r="531" spans="124:135">
      <c r="DT531" s="353"/>
      <c r="DU531" s="353"/>
      <c r="ED531" t="s">
        <v>3885</v>
      </c>
      <c r="EE531" t="s">
        <v>3696</v>
      </c>
    </row>
    <row r="532" spans="124:135">
      <c r="DT532" s="351"/>
      <c r="DU532" s="351"/>
      <c r="ED532" t="s">
        <v>3886</v>
      </c>
      <c r="EE532" t="s">
        <v>3698</v>
      </c>
    </row>
    <row r="533" spans="124:135">
      <c r="DT533" s="351"/>
      <c r="DU533" s="351"/>
      <c r="ED533" t="s">
        <v>3887</v>
      </c>
      <c r="EE533" t="s">
        <v>3700</v>
      </c>
    </row>
    <row r="534" spans="124:135">
      <c r="DT534" s="351"/>
      <c r="ED534" t="s">
        <v>3888</v>
      </c>
      <c r="EE534" t="s">
        <v>3702</v>
      </c>
    </row>
    <row r="535" spans="124:135">
      <c r="DT535" s="351"/>
      <c r="ED535" t="s">
        <v>3889</v>
      </c>
      <c r="EE535" t="s">
        <v>3704</v>
      </c>
    </row>
    <row r="536" spans="124:135">
      <c r="DT536" s="286"/>
      <c r="ED536" t="s">
        <v>3890</v>
      </c>
      <c r="EE536" t="s">
        <v>3706</v>
      </c>
    </row>
    <row r="537" spans="124:135">
      <c r="DT537" s="351"/>
      <c r="DU537" s="351"/>
      <c r="ED537" t="s">
        <v>3891</v>
      </c>
      <c r="EE537" t="s">
        <v>3708</v>
      </c>
    </row>
    <row r="538" spans="124:135">
      <c r="DT538" s="351"/>
      <c r="DU538" s="351"/>
      <c r="ED538" t="s">
        <v>3892</v>
      </c>
      <c r="EE538" t="s">
        <v>3710</v>
      </c>
    </row>
    <row r="539" spans="124:135">
      <c r="DT539" s="351"/>
      <c r="DU539" s="351"/>
      <c r="ED539" t="s">
        <v>3893</v>
      </c>
      <c r="EE539" t="s">
        <v>3712</v>
      </c>
    </row>
    <row r="540" spans="124:135">
      <c r="DT540" s="351"/>
      <c r="DU540" s="351"/>
      <c r="ED540" t="s">
        <v>3894</v>
      </c>
      <c r="EE540" t="s">
        <v>3714</v>
      </c>
    </row>
    <row r="541" spans="124:135">
      <c r="DT541" s="351"/>
      <c r="DU541" s="351"/>
      <c r="ED541" t="s">
        <v>3895</v>
      </c>
      <c r="EE541" t="s">
        <v>3716</v>
      </c>
    </row>
    <row r="542" spans="124:135">
      <c r="DT542" s="352"/>
      <c r="DU542" s="352"/>
      <c r="ED542" t="s">
        <v>3896</v>
      </c>
      <c r="EE542" t="s">
        <v>3718</v>
      </c>
    </row>
    <row r="543" spans="124:135">
      <c r="DT543" s="286"/>
      <c r="DU543" s="286"/>
      <c r="ED543" t="s">
        <v>3897</v>
      </c>
      <c r="EE543" t="s">
        <v>3720</v>
      </c>
    </row>
    <row r="544" spans="124:135">
      <c r="DT544" s="351"/>
      <c r="DU544" s="351"/>
      <c r="ED544" t="s">
        <v>3898</v>
      </c>
      <c r="EE544" t="s">
        <v>3722</v>
      </c>
    </row>
    <row r="545" spans="124:135">
      <c r="DT545" s="351"/>
      <c r="DU545" s="351"/>
      <c r="ED545" t="s">
        <v>3899</v>
      </c>
      <c r="EE545" t="s">
        <v>3724</v>
      </c>
    </row>
    <row r="546" spans="124:135">
      <c r="DT546" s="352"/>
      <c r="DU546" s="352"/>
      <c r="ED546" t="s">
        <v>3900</v>
      </c>
      <c r="EE546" t="s">
        <v>3726</v>
      </c>
    </row>
    <row r="547" spans="124:135">
      <c r="DT547" s="352"/>
      <c r="DU547" s="352"/>
      <c r="ED547" t="s">
        <v>3901</v>
      </c>
      <c r="EE547" t="s">
        <v>3727</v>
      </c>
    </row>
    <row r="548" spans="124:135">
      <c r="DT548" s="286"/>
      <c r="DU548" s="286"/>
      <c r="ED548" t="s">
        <v>3902</v>
      </c>
      <c r="EE548" t="s">
        <v>3729</v>
      </c>
    </row>
    <row r="549" spans="124:135">
      <c r="DT549" s="286"/>
      <c r="DU549" s="286"/>
      <c r="ED549" t="s">
        <v>3903</v>
      </c>
      <c r="EE549" t="s">
        <v>3731</v>
      </c>
    </row>
    <row r="550" spans="124:135">
      <c r="DT550" s="351"/>
      <c r="DU550" s="351"/>
      <c r="ED550" t="s">
        <v>3904</v>
      </c>
      <c r="EE550" t="s">
        <v>3733</v>
      </c>
    </row>
    <row r="551" spans="124:135">
      <c r="DT551" s="351"/>
      <c r="DU551" s="351"/>
      <c r="ED551" t="s">
        <v>3905</v>
      </c>
      <c r="EE551" t="s">
        <v>3735</v>
      </c>
    </row>
    <row r="552" spans="124:135">
      <c r="DT552" s="352"/>
      <c r="DU552" s="351"/>
      <c r="ED552" t="s">
        <v>3906</v>
      </c>
      <c r="EE552" t="s">
        <v>3737</v>
      </c>
    </row>
    <row r="553" spans="124:135">
      <c r="DT553" s="352"/>
      <c r="DU553" s="351"/>
      <c r="ED553" t="s">
        <v>3907</v>
      </c>
      <c r="EE553" t="s">
        <v>3739</v>
      </c>
    </row>
    <row r="554" spans="124:135">
      <c r="DT554" s="286"/>
      <c r="DU554" s="351"/>
      <c r="ED554" t="s">
        <v>3908</v>
      </c>
      <c r="EE554" t="s">
        <v>3741</v>
      </c>
    </row>
    <row r="555" spans="124:135">
      <c r="DT555" s="286"/>
      <c r="DU555" s="351"/>
      <c r="ED555" t="s">
        <v>3909</v>
      </c>
      <c r="EE555" t="s">
        <v>3743</v>
      </c>
    </row>
    <row r="556" spans="124:135">
      <c r="DT556" s="353"/>
      <c r="ED556" t="s">
        <v>3910</v>
      </c>
      <c r="EE556" t="s">
        <v>3745</v>
      </c>
    </row>
    <row r="557" spans="124:135">
      <c r="DT557" s="353"/>
      <c r="ED557" t="s">
        <v>3911</v>
      </c>
      <c r="EE557" t="s">
        <v>3747</v>
      </c>
    </row>
    <row r="558" spans="124:135">
      <c r="DT558" s="353"/>
      <c r="ED558" t="s">
        <v>3912</v>
      </c>
      <c r="EE558" t="s">
        <v>3749</v>
      </c>
    </row>
    <row r="559" spans="124:135">
      <c r="DT559" s="351"/>
      <c r="ED559" t="s">
        <v>3913</v>
      </c>
      <c r="EE559" t="s">
        <v>3751</v>
      </c>
    </row>
    <row r="560" spans="124:135">
      <c r="DT560" s="286"/>
      <c r="ED560" t="s">
        <v>3914</v>
      </c>
      <c r="EE560" t="s">
        <v>3753</v>
      </c>
    </row>
    <row r="561" spans="124:135">
      <c r="DT561" s="351"/>
      <c r="ED561" t="s">
        <v>3915</v>
      </c>
      <c r="EE561" t="s">
        <v>3755</v>
      </c>
    </row>
    <row r="562" spans="124:135">
      <c r="DT562" s="286"/>
      <c r="ED562" t="s">
        <v>3916</v>
      </c>
      <c r="EE562" t="s">
        <v>3757</v>
      </c>
    </row>
    <row r="563" spans="124:135">
      <c r="DT563" s="352"/>
      <c r="DU563" s="351"/>
      <c r="ED563" t="s">
        <v>3917</v>
      </c>
      <c r="EE563" t="s">
        <v>3759</v>
      </c>
    </row>
    <row r="564" spans="124:135">
      <c r="DT564" s="352"/>
      <c r="DU564" s="351"/>
      <c r="ED564" t="s">
        <v>3918</v>
      </c>
      <c r="EE564" t="s">
        <v>3761</v>
      </c>
    </row>
    <row r="565" spans="124:135">
      <c r="DT565" s="286"/>
      <c r="DU565" s="351"/>
      <c r="ED565" t="s">
        <v>3919</v>
      </c>
      <c r="EE565" t="s">
        <v>3763</v>
      </c>
    </row>
    <row r="566" spans="124:135">
      <c r="DT566" s="286"/>
      <c r="DU566" s="351"/>
      <c r="ED566" t="s">
        <v>3920</v>
      </c>
      <c r="EE566" t="s">
        <v>3765</v>
      </c>
    </row>
    <row r="567" spans="124:135">
      <c r="DT567" s="352"/>
      <c r="DU567" s="351"/>
      <c r="ED567" t="s">
        <v>3921</v>
      </c>
      <c r="EE567" t="s">
        <v>3767</v>
      </c>
    </row>
    <row r="568" spans="124:135">
      <c r="DT568" s="352"/>
      <c r="DU568" s="351"/>
      <c r="ED568" t="s">
        <v>3922</v>
      </c>
      <c r="EE568" t="s">
        <v>3769</v>
      </c>
    </row>
    <row r="569" spans="124:135">
      <c r="DT569" s="286"/>
      <c r="DU569" s="351"/>
      <c r="ED569" t="s">
        <v>3923</v>
      </c>
      <c r="EE569" t="s">
        <v>3771</v>
      </c>
    </row>
    <row r="570" spans="124:135">
      <c r="DT570" s="286"/>
      <c r="DU570" s="351"/>
      <c r="ED570" t="s">
        <v>3924</v>
      </c>
      <c r="EE570" t="s">
        <v>3773</v>
      </c>
    </row>
    <row r="571" spans="124:135">
      <c r="DT571" s="352"/>
      <c r="ED571" t="s">
        <v>3925</v>
      </c>
      <c r="EE571" t="s">
        <v>3775</v>
      </c>
    </row>
    <row r="572" spans="124:135">
      <c r="DT572" s="351"/>
      <c r="ED572" t="s">
        <v>3926</v>
      </c>
      <c r="EE572" t="s">
        <v>3777</v>
      </c>
    </row>
    <row r="573" spans="124:135">
      <c r="DT573" s="351"/>
      <c r="ED573" t="s">
        <v>3927</v>
      </c>
      <c r="EE573" t="s">
        <v>3779</v>
      </c>
    </row>
    <row r="574" spans="124:135">
      <c r="DT574" s="351"/>
      <c r="ED574" t="s">
        <v>3928</v>
      </c>
      <c r="EE574" t="s">
        <v>3781</v>
      </c>
    </row>
    <row r="575" spans="124:135">
      <c r="DT575" s="286"/>
      <c r="ED575" t="s">
        <v>3929</v>
      </c>
      <c r="EE575" t="s">
        <v>3783</v>
      </c>
    </row>
    <row r="576" spans="124:135">
      <c r="DT576" s="352"/>
      <c r="ED576" t="s">
        <v>3930</v>
      </c>
      <c r="EE576" t="s">
        <v>3785</v>
      </c>
    </row>
    <row r="577" spans="124:135">
      <c r="DT577" s="351"/>
      <c r="ED577" t="s">
        <v>3931</v>
      </c>
      <c r="EE577" t="s">
        <v>3787</v>
      </c>
    </row>
    <row r="578" spans="124:135">
      <c r="DT578" s="351"/>
      <c r="ED578" t="s">
        <v>3932</v>
      </c>
      <c r="EE578" t="s">
        <v>3789</v>
      </c>
    </row>
    <row r="579" spans="124:135">
      <c r="DT579" s="351"/>
      <c r="ED579" t="s">
        <v>3933</v>
      </c>
      <c r="EE579" t="s">
        <v>3791</v>
      </c>
    </row>
    <row r="580" spans="124:135">
      <c r="DT580" s="286"/>
      <c r="ED580" t="s">
        <v>3934</v>
      </c>
      <c r="EE580" t="s">
        <v>3793</v>
      </c>
    </row>
    <row r="581" spans="124:135">
      <c r="DT581" s="352"/>
      <c r="ED581" t="s">
        <v>3935</v>
      </c>
      <c r="EE581" t="s">
        <v>3795</v>
      </c>
    </row>
    <row r="582" spans="124:135">
      <c r="DT582" s="351"/>
      <c r="ED582" t="s">
        <v>3936</v>
      </c>
      <c r="EE582" t="s">
        <v>3797</v>
      </c>
    </row>
    <row r="583" spans="124:135">
      <c r="DT583" s="351"/>
      <c r="ED583" t="s">
        <v>3937</v>
      </c>
      <c r="EE583" t="s">
        <v>3799</v>
      </c>
    </row>
    <row r="584" spans="124:135">
      <c r="DT584" s="351"/>
      <c r="ED584" t="s">
        <v>3938</v>
      </c>
      <c r="EE584" t="s">
        <v>3801</v>
      </c>
    </row>
    <row r="585" spans="124:135">
      <c r="DT585" s="286"/>
      <c r="ED585" t="s">
        <v>3939</v>
      </c>
      <c r="EE585" t="s">
        <v>3803</v>
      </c>
    </row>
    <row r="586" spans="124:135">
      <c r="DT586" s="352"/>
      <c r="ED586" t="s">
        <v>3940</v>
      </c>
      <c r="EE586" t="s">
        <v>3805</v>
      </c>
    </row>
    <row r="587" spans="124:135">
      <c r="DT587" s="351"/>
      <c r="ED587" t="s">
        <v>3941</v>
      </c>
      <c r="EE587" t="s">
        <v>3807</v>
      </c>
    </row>
    <row r="588" spans="124:135">
      <c r="DT588" s="351"/>
      <c r="ED588" t="s">
        <v>3942</v>
      </c>
      <c r="EE588" t="s">
        <v>3809</v>
      </c>
    </row>
    <row r="589" spans="124:135">
      <c r="DT589" s="351"/>
      <c r="ED589" t="s">
        <v>3943</v>
      </c>
      <c r="EE589" t="s">
        <v>3811</v>
      </c>
    </row>
    <row r="590" spans="124:135">
      <c r="DT590" s="286"/>
      <c r="ED590" t="s">
        <v>3944</v>
      </c>
      <c r="EE590" t="s">
        <v>3813</v>
      </c>
    </row>
    <row r="591" spans="124:135">
      <c r="DT591" s="352"/>
      <c r="ED591" t="s">
        <v>3945</v>
      </c>
      <c r="EE591" t="s">
        <v>3815</v>
      </c>
    </row>
    <row r="592" spans="124:135">
      <c r="DT592" s="352"/>
      <c r="ED592" t="s">
        <v>3946</v>
      </c>
      <c r="EE592" t="s">
        <v>3817</v>
      </c>
    </row>
    <row r="593" spans="124:135">
      <c r="DT593" s="352"/>
      <c r="DV593" s="351"/>
      <c r="DW593" s="352"/>
      <c r="DX593" s="286"/>
      <c r="ED593" t="s">
        <v>3947</v>
      </c>
      <c r="EE593" t="s">
        <v>3690</v>
      </c>
    </row>
    <row r="594" spans="124:135">
      <c r="DT594" s="352"/>
      <c r="DV594" s="351"/>
      <c r="DW594" s="352"/>
      <c r="DX594" s="286"/>
      <c r="ED594" t="s">
        <v>3948</v>
      </c>
      <c r="EE594" t="s">
        <v>3692</v>
      </c>
    </row>
    <row r="595" spans="124:135">
      <c r="DT595" s="351"/>
      <c r="ED595" t="s">
        <v>3949</v>
      </c>
      <c r="EE595" t="s">
        <v>3694</v>
      </c>
    </row>
    <row r="596" spans="124:135">
      <c r="DT596" s="351"/>
      <c r="ED596" t="s">
        <v>3950</v>
      </c>
      <c r="EE596" t="s">
        <v>3696</v>
      </c>
    </row>
    <row r="597" spans="124:135">
      <c r="DT597" s="352"/>
      <c r="ED597" t="s">
        <v>3951</v>
      </c>
      <c r="EE597" t="s">
        <v>3698</v>
      </c>
    </row>
    <row r="598" spans="124:135">
      <c r="DT598" s="352"/>
      <c r="ED598" t="s">
        <v>3952</v>
      </c>
      <c r="EE598" t="s">
        <v>3700</v>
      </c>
    </row>
    <row r="599" spans="124:135">
      <c r="DT599" s="286"/>
      <c r="ED599" t="s">
        <v>3953</v>
      </c>
      <c r="EE599" t="s">
        <v>3702</v>
      </c>
    </row>
    <row r="600" spans="124:135">
      <c r="DT600" s="286"/>
      <c r="ED600" t="s">
        <v>3954</v>
      </c>
      <c r="EE600" t="s">
        <v>3704</v>
      </c>
    </row>
    <row r="601" spans="124:135">
      <c r="DT601" s="352"/>
      <c r="ED601" t="s">
        <v>3955</v>
      </c>
      <c r="EE601" t="s">
        <v>3706</v>
      </c>
    </row>
    <row r="602" spans="124:135">
      <c r="DT602" s="352"/>
      <c r="ED602" t="s">
        <v>3956</v>
      </c>
      <c r="EE602" t="s">
        <v>3708</v>
      </c>
    </row>
    <row r="603" spans="124:135">
      <c r="DT603" s="352"/>
      <c r="ED603" t="s">
        <v>3957</v>
      </c>
      <c r="EE603" t="s">
        <v>3710</v>
      </c>
    </row>
    <row r="604" spans="124:135">
      <c r="DT604" s="352"/>
      <c r="ED604" t="s">
        <v>3958</v>
      </c>
      <c r="EE604" t="s">
        <v>3712</v>
      </c>
    </row>
    <row r="605" spans="124:135">
      <c r="DT605" s="351"/>
      <c r="ED605" t="s">
        <v>3959</v>
      </c>
      <c r="EE605" t="s">
        <v>3714</v>
      </c>
    </row>
    <row r="606" spans="124:135">
      <c r="DT606" s="351"/>
      <c r="ED606" t="s">
        <v>3960</v>
      </c>
      <c r="EE606" t="s">
        <v>3716</v>
      </c>
    </row>
    <row r="607" spans="124:135">
      <c r="DT607" s="352"/>
      <c r="ED607" t="s">
        <v>3961</v>
      </c>
      <c r="EE607" t="s">
        <v>3718</v>
      </c>
    </row>
    <row r="608" spans="124:135">
      <c r="DT608" s="352"/>
      <c r="ED608" t="s">
        <v>3962</v>
      </c>
      <c r="EE608" t="s">
        <v>3720</v>
      </c>
    </row>
    <row r="609" spans="124:135">
      <c r="DT609" s="286"/>
      <c r="ED609" t="s">
        <v>3963</v>
      </c>
      <c r="EE609" t="s">
        <v>3722</v>
      </c>
    </row>
    <row r="610" spans="124:135">
      <c r="DT610" s="286"/>
      <c r="ED610" t="s">
        <v>3964</v>
      </c>
      <c r="EE610" t="s">
        <v>3724</v>
      </c>
    </row>
    <row r="611" spans="124:135">
      <c r="DT611" s="351"/>
      <c r="ED611" t="s">
        <v>3965</v>
      </c>
      <c r="EE611" t="s">
        <v>3726</v>
      </c>
    </row>
    <row r="612" spans="124:135">
      <c r="DT612" s="351"/>
      <c r="ED612" t="s">
        <v>3966</v>
      </c>
      <c r="EE612" t="s">
        <v>3727</v>
      </c>
    </row>
    <row r="613" spans="124:135">
      <c r="DT613" s="351"/>
      <c r="ED613" t="s">
        <v>3967</v>
      </c>
      <c r="EE613" t="s">
        <v>3729</v>
      </c>
    </row>
    <row r="614" spans="124:135">
      <c r="DT614" s="351"/>
      <c r="ED614" t="s">
        <v>3968</v>
      </c>
      <c r="EE614" t="s">
        <v>3731</v>
      </c>
    </row>
    <row r="615" spans="124:135">
      <c r="DT615" s="286"/>
      <c r="ED615" t="s">
        <v>3969</v>
      </c>
      <c r="EE615" t="s">
        <v>3733</v>
      </c>
    </row>
    <row r="616" spans="124:135">
      <c r="DT616" s="351"/>
      <c r="ED616" t="s">
        <v>3970</v>
      </c>
      <c r="EE616" t="s">
        <v>3735</v>
      </c>
    </row>
    <row r="617" spans="124:135">
      <c r="DT617" s="351"/>
      <c r="ED617" t="s">
        <v>3971</v>
      </c>
      <c r="EE617" t="s">
        <v>3737</v>
      </c>
    </row>
    <row r="618" spans="124:135">
      <c r="DT618" s="351"/>
      <c r="ED618" t="s">
        <v>3972</v>
      </c>
      <c r="EE618" t="s">
        <v>3739</v>
      </c>
    </row>
    <row r="619" spans="124:135">
      <c r="DT619" s="351"/>
      <c r="ED619" t="s">
        <v>3973</v>
      </c>
      <c r="EE619" t="s">
        <v>3741</v>
      </c>
    </row>
    <row r="620" spans="124:135">
      <c r="DT620" s="286"/>
      <c r="ED620" t="s">
        <v>3974</v>
      </c>
      <c r="EE620" t="s">
        <v>3743</v>
      </c>
    </row>
    <row r="621" spans="124:135">
      <c r="DT621" s="337"/>
      <c r="ED621" t="s">
        <v>3975</v>
      </c>
      <c r="EE621" t="s">
        <v>3745</v>
      </c>
    </row>
    <row r="622" spans="124:135">
      <c r="DT622" s="337"/>
      <c r="ED622" t="s">
        <v>3976</v>
      </c>
      <c r="EE622" t="s">
        <v>3747</v>
      </c>
    </row>
    <row r="623" spans="124:135">
      <c r="DT623" s="351"/>
      <c r="ED623" t="s">
        <v>3977</v>
      </c>
      <c r="EE623" t="s">
        <v>3749</v>
      </c>
    </row>
    <row r="624" spans="124:135">
      <c r="DT624" s="351"/>
      <c r="ED624" t="s">
        <v>3978</v>
      </c>
      <c r="EE624" t="s">
        <v>3751</v>
      </c>
    </row>
    <row r="625" spans="124:135">
      <c r="DT625" s="334"/>
      <c r="ED625" t="s">
        <v>3979</v>
      </c>
      <c r="EE625" t="s">
        <v>3753</v>
      </c>
    </row>
    <row r="626" spans="124:135">
      <c r="DT626" s="286"/>
      <c r="ED626" t="s">
        <v>3980</v>
      </c>
      <c r="EE626" t="s">
        <v>3755</v>
      </c>
    </row>
    <row r="627" spans="124:135">
      <c r="DT627" s="286"/>
      <c r="ED627" t="s">
        <v>3981</v>
      </c>
      <c r="EE627" t="s">
        <v>3757</v>
      </c>
    </row>
    <row r="628" spans="124:135">
      <c r="DT628" s="286"/>
      <c r="ED628" t="s">
        <v>3982</v>
      </c>
      <c r="EE628" t="s">
        <v>3759</v>
      </c>
    </row>
    <row r="629" spans="124:135">
      <c r="DT629" s="334"/>
      <c r="ED629" t="s">
        <v>3983</v>
      </c>
      <c r="EE629" t="s">
        <v>3761</v>
      </c>
    </row>
    <row r="630" spans="124:135">
      <c r="DT630" s="286"/>
      <c r="ED630" t="s">
        <v>3984</v>
      </c>
      <c r="EE630" t="s">
        <v>3763</v>
      </c>
    </row>
    <row r="631" spans="124:135">
      <c r="DT631" s="351"/>
      <c r="ED631" t="s">
        <v>3985</v>
      </c>
      <c r="EE631" t="s">
        <v>3765</v>
      </c>
    </row>
    <row r="632" spans="124:135">
      <c r="DT632" s="351"/>
      <c r="ED632" t="s">
        <v>3986</v>
      </c>
      <c r="EE632" t="s">
        <v>3767</v>
      </c>
    </row>
    <row r="633" spans="124:135">
      <c r="DT633" s="334"/>
      <c r="ED633" t="s">
        <v>3987</v>
      </c>
      <c r="EE633" t="s">
        <v>3769</v>
      </c>
    </row>
    <row r="634" spans="124:135">
      <c r="DT634" s="351"/>
      <c r="ED634" t="s">
        <v>3988</v>
      </c>
      <c r="EE634" t="s">
        <v>3771</v>
      </c>
    </row>
    <row r="635" spans="124:135">
      <c r="DT635" s="286"/>
      <c r="ED635" t="s">
        <v>3989</v>
      </c>
      <c r="EE635" t="s">
        <v>3773</v>
      </c>
    </row>
    <row r="636" spans="124:135">
      <c r="DT636" s="334"/>
      <c r="DU636" s="286"/>
      <c r="ED636" t="s">
        <v>3990</v>
      </c>
      <c r="EE636" t="s">
        <v>3775</v>
      </c>
    </row>
    <row r="637" spans="124:135">
      <c r="DT637" s="334"/>
      <c r="DU637" s="286"/>
      <c r="ED637" t="s">
        <v>3991</v>
      </c>
      <c r="EE637" t="s">
        <v>3777</v>
      </c>
    </row>
    <row r="638" spans="124:135">
      <c r="DT638" s="334"/>
      <c r="DU638" s="286"/>
      <c r="ED638" t="s">
        <v>3992</v>
      </c>
      <c r="EE638" t="s">
        <v>3779</v>
      </c>
    </row>
    <row r="639" spans="124:135">
      <c r="DT639" s="286"/>
      <c r="DU639" s="286"/>
      <c r="ED639" t="s">
        <v>3993</v>
      </c>
      <c r="EE639" t="s">
        <v>3781</v>
      </c>
    </row>
    <row r="640" spans="124:135">
      <c r="DT640" s="362"/>
      <c r="DU640" s="362"/>
      <c r="ED640" t="s">
        <v>3994</v>
      </c>
      <c r="EE640" t="s">
        <v>3783</v>
      </c>
    </row>
    <row r="641" spans="124:135">
      <c r="DT641" s="330"/>
      <c r="DU641" s="362"/>
      <c r="ED641" t="s">
        <v>3995</v>
      </c>
      <c r="EE641" t="s">
        <v>3785</v>
      </c>
    </row>
    <row r="642" spans="124:135">
      <c r="DT642" s="338"/>
      <c r="DU642" s="338"/>
      <c r="DX642" s="365"/>
      <c r="ED642" t="s">
        <v>3996</v>
      </c>
      <c r="EE642" t="s">
        <v>3787</v>
      </c>
    </row>
    <row r="643" spans="124:135">
      <c r="DT643" s="338"/>
      <c r="DU643" s="338"/>
      <c r="DX643" s="338"/>
      <c r="ED643" t="s">
        <v>3997</v>
      </c>
      <c r="EE643" t="s">
        <v>3789</v>
      </c>
    </row>
    <row r="644" spans="124:135">
      <c r="DT644" s="338"/>
      <c r="DU644" s="338"/>
      <c r="DX644" s="374"/>
      <c r="ED644" t="s">
        <v>3998</v>
      </c>
      <c r="EE644" t="s">
        <v>3791</v>
      </c>
    </row>
    <row r="645" spans="124:135">
      <c r="DT645" s="338"/>
      <c r="DU645" s="338"/>
      <c r="DX645" s="338"/>
      <c r="ED645" t="s">
        <v>3999</v>
      </c>
      <c r="EE645" t="s">
        <v>3793</v>
      </c>
    </row>
    <row r="646" spans="124:135">
      <c r="DT646" s="338"/>
      <c r="DU646" s="338"/>
      <c r="ED646" t="s">
        <v>4000</v>
      </c>
      <c r="EE646" t="s">
        <v>3795</v>
      </c>
    </row>
    <row r="647" spans="124:135">
      <c r="DT647" s="338"/>
      <c r="DU647" s="338"/>
      <c r="ED647" t="s">
        <v>4001</v>
      </c>
      <c r="EE647" t="s">
        <v>3797</v>
      </c>
    </row>
    <row r="648" spans="124:135">
      <c r="DT648" s="338"/>
      <c r="DU648" s="338"/>
      <c r="ED648" t="s">
        <v>4002</v>
      </c>
      <c r="EE648" t="s">
        <v>3799</v>
      </c>
    </row>
    <row r="649" spans="124:135">
      <c r="DT649" s="338"/>
      <c r="DU649" s="338"/>
      <c r="ED649" t="s">
        <v>4003</v>
      </c>
      <c r="EE649" t="s">
        <v>3801</v>
      </c>
    </row>
    <row r="650" spans="124:135">
      <c r="DT650" s="338"/>
      <c r="DU650" s="338"/>
      <c r="ED650" t="s">
        <v>4004</v>
      </c>
      <c r="EE650" t="s">
        <v>3803</v>
      </c>
    </row>
    <row r="651" spans="124:135">
      <c r="DT651" s="338"/>
      <c r="DU651" s="338"/>
      <c r="ED651" t="s">
        <v>4005</v>
      </c>
      <c r="EE651" t="s">
        <v>3805</v>
      </c>
    </row>
    <row r="652" spans="124:135">
      <c r="DT652" s="338"/>
      <c r="DU652" s="338"/>
      <c r="ED652" t="s">
        <v>4006</v>
      </c>
      <c r="EE652" t="s">
        <v>3807</v>
      </c>
    </row>
    <row r="653" spans="124:135">
      <c r="DT653" s="338"/>
      <c r="DU653" s="338"/>
      <c r="ED653" t="s">
        <v>4007</v>
      </c>
      <c r="EE653" t="s">
        <v>3809</v>
      </c>
    </row>
    <row r="654" spans="124:135">
      <c r="DT654" s="338"/>
      <c r="DU654" s="338"/>
      <c r="ED654" t="s">
        <v>4008</v>
      </c>
      <c r="EE654" t="s">
        <v>3811</v>
      </c>
    </row>
    <row r="655" spans="124:135">
      <c r="DT655" s="338"/>
      <c r="DU655" s="338"/>
      <c r="ED655" t="s">
        <v>4009</v>
      </c>
      <c r="EE655" t="s">
        <v>3813</v>
      </c>
    </row>
    <row r="656" spans="124:135">
      <c r="DT656" s="338"/>
      <c r="DU656" s="338"/>
      <c r="ED656" t="s">
        <v>4010</v>
      </c>
      <c r="EE656" t="s">
        <v>3815</v>
      </c>
    </row>
    <row r="657" spans="124:135">
      <c r="DT657" s="338"/>
      <c r="DU657" s="338"/>
      <c r="ED657" t="s">
        <v>4011</v>
      </c>
      <c r="EE657" t="s">
        <v>3817</v>
      </c>
    </row>
    <row r="658" spans="124:135">
      <c r="DT658" s="338"/>
      <c r="DU658" s="365"/>
    </row>
    <row r="659" spans="124:135">
      <c r="DT659" s="338"/>
      <c r="DU659" s="365"/>
    </row>
    <row r="660" spans="124:135">
      <c r="DT660" s="338"/>
      <c r="DU660" s="365"/>
    </row>
    <row r="661" spans="124:135">
      <c r="DT661" s="338"/>
      <c r="DU661" s="365"/>
    </row>
    <row r="662" spans="124:135">
      <c r="DT662" s="366"/>
      <c r="DU662" s="365"/>
    </row>
    <row r="663" spans="124:135">
      <c r="DT663" s="366"/>
      <c r="DU663" s="365"/>
    </row>
    <row r="664" spans="124:135">
      <c r="DT664" s="366"/>
      <c r="DU664" s="365"/>
    </row>
    <row r="665" spans="124:135">
      <c r="DT665" s="366"/>
      <c r="DU665" s="365"/>
    </row>
    <row r="666" spans="124:135">
      <c r="DT666" s="168"/>
      <c r="DU666" s="365"/>
    </row>
    <row r="667" spans="124:135">
      <c r="DT667" s="168"/>
      <c r="DU667" s="365"/>
    </row>
    <row r="668" spans="124:135">
      <c r="DT668" s="168"/>
      <c r="DU668" s="365"/>
    </row>
    <row r="669" spans="124:135">
      <c r="DT669" s="168"/>
      <c r="DU669" s="365"/>
    </row>
    <row r="670" spans="124:135">
      <c r="DT670" s="365"/>
      <c r="DU670" s="365"/>
    </row>
    <row r="671" spans="124:135">
      <c r="DT671" s="365"/>
      <c r="DU671" s="365"/>
    </row>
    <row r="672" spans="124:135">
      <c r="DT672" s="365"/>
      <c r="DU672" s="365"/>
    </row>
    <row r="673" spans="124:125">
      <c r="DT673" s="365"/>
      <c r="DU673" s="365"/>
    </row>
  </sheetData>
  <conditionalFormatting sqref="A3:A15">
    <cfRule type="expression" dxfId="355"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354" priority="3" stopIfTrue="1">
      <formula>AND(COUNTIF($A$37:$A$41, A17)+COUNTIF($A$3:$A$15, A17)+COUNTIF($A$17:$A$31, A17)+COUNTIF($A$33:$A$35, A17)+COUNTIF($A$43:$A$47, A17)+COUNTIF($A$49:$A$54, A17)+COUNTIF($A$56:$A$99, A17)&gt;1,NOT(ISBLANK(A17)))</formula>
    </cfRule>
  </conditionalFormatting>
  <conditionalFormatting sqref="A34 A54 A56 A62:A65">
    <cfRule type="expression" dxfId="353" priority="2" stopIfTrue="1">
      <formula>AND(COUNTIF($A$54:$A$54, A34)+COUNTIF($A$56:$A$59, A34)+COUNTIF($A$34:$A$34, A34)&gt;1,NOT(ISBLANK(A34)))</formula>
    </cfRule>
  </conditionalFormatting>
  <conditionalFormatting sqref="A72:A99 DW346:DW347">
    <cfRule type="expression" dxfId="352" priority="667" stopIfTrue="1">
      <formula>AND(COUNTIF($A$38:$A$42, A72)+COUNTIF($A$3:$A$15, A72)+COUNTIF($A$17:$A$31, A72)+COUNTIF($A$34:$A$36, A72)+COUNTIF($A$44:$A$48, A72)+COUNTIF($A$50:$A$55, A72)+COUNTIF($A$57:$A$99, A72)&gt;1,NOT(ISBLANK(A72)))</formula>
    </cfRule>
  </conditionalFormatting>
  <conditionalFormatting sqref="F14:F19">
    <cfRule type="duplicateValues" dxfId="351" priority="19"/>
  </conditionalFormatting>
  <conditionalFormatting sqref="P2:P61 P63:P65536">
    <cfRule type="expression" dxfId="350" priority="35" stopIfTrue="1">
      <formula>AND(COUNTIF($P$63:$P$65536, P2)+COUNTIF($P$2:$P$61, P2)&gt;1,NOT(ISBLANK(P2)))</formula>
    </cfRule>
  </conditionalFormatting>
  <conditionalFormatting sqref="Q2 Q4 Q6:Q12 Q15:Q20 Q22:Q23 Q26:Q54 S27:S30 Q68:Q65536">
    <cfRule type="expression" dxfId="349" priority="45" stopIfTrue="1">
      <formula>AND(COUNTIF($Q$68:$Q$65536, Q2)+COUNTIF($Q$2:$Q$2, Q2)+COUNTIF($Q$4:$Q$4, Q2)+COUNTIF($Q$6:$Q$54, Q2)&gt;1,NOT(ISBLANK(Q2)))</formula>
    </cfRule>
  </conditionalFormatting>
  <conditionalFormatting sqref="R4:R6">
    <cfRule type="duplicateValues" dxfId="348" priority="30"/>
  </conditionalFormatting>
  <conditionalFormatting sqref="R7 R9">
    <cfRule type="duplicateValues" dxfId="347" priority="42"/>
  </conditionalFormatting>
  <conditionalFormatting sqref="R10">
    <cfRule type="duplicateValues" dxfId="346" priority="29"/>
  </conditionalFormatting>
  <conditionalFormatting sqref="R11:R18 R29:R33">
    <cfRule type="duplicateValues" dxfId="345" priority="44"/>
  </conditionalFormatting>
  <conditionalFormatting sqref="R19:R20 R37:R39 R34">
    <cfRule type="duplicateValues" dxfId="344" priority="38"/>
  </conditionalFormatting>
  <conditionalFormatting sqref="R21:R23">
    <cfRule type="duplicateValues" dxfId="343" priority="28"/>
  </conditionalFormatting>
  <conditionalFormatting sqref="R49:R55">
    <cfRule type="duplicateValues" dxfId="342" priority="31"/>
  </conditionalFormatting>
  <conditionalFormatting sqref="R49:R61 R2 R63:R65536">
    <cfRule type="expression" dxfId="341" priority="34" stopIfTrue="1">
      <formula>AND(COUNTIF($R$2:$R$2, R2)+COUNTIF($R$63:$R$65536, R2)+COUNTIF($R$49:$R$61, R2)&gt;1,NOT(ISBLANK(R2)))</formula>
    </cfRule>
  </conditionalFormatting>
  <conditionalFormatting sqref="R56:R57">
    <cfRule type="duplicateValues" dxfId="340" priority="32"/>
  </conditionalFormatting>
  <conditionalFormatting sqref="R58:R61 R63">
    <cfRule type="expression" dxfId="339" priority="36" stopIfTrue="1">
      <formula>AND(COUNTIF($R$63:$R$63, R58)+COUNTIF($R$58:$R$61, R58)&gt;1,NOT(ISBLANK(R58)))</formula>
    </cfRule>
  </conditionalFormatting>
  <conditionalFormatting sqref="S4">
    <cfRule type="duplicateValues" dxfId="338" priority="27"/>
  </conditionalFormatting>
  <conditionalFormatting sqref="S6:S8 S10">
    <cfRule type="duplicateValues" dxfId="337" priority="49"/>
  </conditionalFormatting>
  <conditionalFormatting sqref="S12:S17">
    <cfRule type="duplicateValues" dxfId="336" priority="26"/>
  </conditionalFormatting>
  <conditionalFormatting sqref="S18:S19">
    <cfRule type="duplicateValues" dxfId="335" priority="25"/>
  </conditionalFormatting>
  <conditionalFormatting sqref="S20:S26">
    <cfRule type="duplicateValues" dxfId="334" priority="43"/>
  </conditionalFormatting>
  <conditionalFormatting sqref="S31:S52">
    <cfRule type="duplicateValues" dxfId="333" priority="48"/>
  </conditionalFormatting>
  <conditionalFormatting sqref="T4">
    <cfRule type="duplicateValues" dxfId="332" priority="24"/>
  </conditionalFormatting>
  <conditionalFormatting sqref="U4:U6">
    <cfRule type="duplicateValues" dxfId="331" priority="23"/>
  </conditionalFormatting>
  <conditionalFormatting sqref="U7:U14 U26:U30">
    <cfRule type="duplicateValues" dxfId="330" priority="46"/>
  </conditionalFormatting>
  <conditionalFormatting sqref="U15:U16 U31:U32">
    <cfRule type="duplicateValues" dxfId="329" priority="39"/>
  </conditionalFormatting>
  <conditionalFormatting sqref="U17:U19">
    <cfRule type="duplicateValues" dxfId="328" priority="22"/>
  </conditionalFormatting>
  <conditionalFormatting sqref="V4:V6">
    <cfRule type="duplicateValues" dxfId="327" priority="21"/>
  </conditionalFormatting>
  <conditionalFormatting sqref="V17:V19">
    <cfRule type="duplicateValues" dxfId="326" priority="20"/>
  </conditionalFormatting>
  <conditionalFormatting sqref="V21:V30 V7:V14">
    <cfRule type="duplicateValues" dxfId="325" priority="47"/>
  </conditionalFormatting>
  <conditionalFormatting sqref="V31:V32 V15:V16">
    <cfRule type="duplicateValues" dxfId="324" priority="40"/>
  </conditionalFormatting>
  <conditionalFormatting sqref="AC4:AC13 AC15:AC23 AC29:AC34 AC40:AC41 AC43:AC45 AC50:AC53 AC60:AC63">
    <cfRule type="cellIs" dxfId="323" priority="33" operator="equal">
      <formula>1</formula>
    </cfRule>
  </conditionalFormatting>
  <conditionalFormatting sqref="BQ9:BQ10">
    <cfRule type="duplicateValues" dxfId="322" priority="17"/>
  </conditionalFormatting>
  <conditionalFormatting sqref="BQ2:BR2">
    <cfRule type="duplicateValues" dxfId="321" priority="18"/>
  </conditionalFormatting>
  <conditionalFormatting sqref="DT2:DT44">
    <cfRule type="duplicateValues" dxfId="318" priority="11"/>
  </conditionalFormatting>
  <conditionalFormatting sqref="DT2:DT570">
    <cfRule type="duplicateValues" dxfId="317" priority="6"/>
  </conditionalFormatting>
  <conditionalFormatting sqref="DT45:DT87">
    <cfRule type="duplicateValues" dxfId="316" priority="9"/>
  </conditionalFormatting>
  <conditionalFormatting sqref="DT88:DT130">
    <cfRule type="duplicateValues" dxfId="315" priority="10"/>
  </conditionalFormatting>
  <conditionalFormatting sqref="DT131:DT173">
    <cfRule type="duplicateValues" dxfId="314" priority="12"/>
  </conditionalFormatting>
  <conditionalFormatting sqref="DT174:DT217">
    <cfRule type="duplicateValues" dxfId="313" priority="13"/>
  </conditionalFormatting>
  <conditionalFormatting sqref="DT257:DT287">
    <cfRule type="duplicateValues" dxfId="312" priority="16"/>
  </conditionalFormatting>
  <conditionalFormatting sqref="DU257:DU286">
    <cfRule type="duplicateValues" dxfId="311" priority="15"/>
  </conditionalFormatting>
  <conditionalFormatting sqref="DU287">
    <cfRule type="duplicateValues" dxfId="310" priority="14"/>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7" id="{0E8C7A4F-F6E4-41B7-8351-65798440B89F}">
            <xm:f>OR(Ram_5!$AU$10=1,Ram_5!$AU$10=3)</xm:f>
            <x14:dxf>
              <fill>
                <patternFill patternType="darkDown"/>
              </fill>
            </x14:dxf>
          </x14:cfRule>
          <xm:sqref>CH13</xm:sqref>
        </x14:conditionalFormatting>
        <x14:conditionalFormatting xmlns:xm="http://schemas.microsoft.com/office/excel/2006/main">
          <x14:cfRule type="expression" priority="8" id="{8DD0CE52-5581-4136-AD81-D6A56722EDDB}">
            <xm:f>OR(Ram_5!$AU$10=2,Ram_5!$AU$10=3)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zoomScaleNormal="100" workbookViewId="0">
      <selection activeCell="H8" sqref="H8:Q8"/>
    </sheetView>
  </sheetViews>
  <sheetFormatPr defaultColWidth="0" defaultRowHeight="14.45" customHeight="1" zeroHeight="1"/>
  <cols>
    <col min="1" max="1" width="3.42578125" style="293" customWidth="1"/>
    <col min="2" max="2" width="5.5703125" style="293" customWidth="1"/>
    <col min="3" max="3" width="5.5703125" style="264" customWidth="1"/>
    <col min="4" max="4" width="14.85546875" style="264" customWidth="1"/>
    <col min="5" max="5" width="5.5703125" style="264" customWidth="1"/>
    <col min="6" max="6" width="8.7109375" style="264" customWidth="1"/>
    <col min="7" max="7" width="5.5703125" style="264" customWidth="1"/>
    <col min="8" max="8" width="6" style="264" customWidth="1"/>
    <col min="9" max="9" width="6.28515625" style="264" customWidth="1"/>
    <col min="10" max="12" width="6" style="264" customWidth="1"/>
    <col min="13" max="13" width="6.28515625" style="264" customWidth="1"/>
    <col min="14" max="16" width="6" style="264" customWidth="1"/>
    <col min="17" max="17" width="6.28515625"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65" width="0" style="264" hidden="1" customWidth="1"/>
    <col min="6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31" t="str">
        <f>'Translate&amp;Prices&amp;Logo'!$B$169&amp;" "&amp;" "&amp;6</f>
        <v>Frame  6</v>
      </c>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373"/>
      <c r="AL2" s="373"/>
      <c r="AM2" s="373"/>
      <c r="AN2" s="373"/>
      <c r="AO2" s="373"/>
      <c r="AP2" s="597" t="str">
        <f>'Translate&amp;Prices&amp;Logo'!$B$540</f>
        <v>Main page</v>
      </c>
      <c r="AQ2" s="598"/>
      <c r="AR2" s="598"/>
      <c r="AS2" s="598"/>
      <c r="AW2" s="264" t="e">
        <f>VLOOKUP(H8,'Translate&amp;Prices&amp;Logo'!B77:D82,3,0)</f>
        <v>#N/A</v>
      </c>
      <c r="AX2" s="292" t="e">
        <f>VLOOKUP(AW2,'Translate&amp;Prices&amp;Logo'!B6:D60,2,0)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31"/>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1"/>
      <c r="AG3" s="531"/>
      <c r="AH3" s="531"/>
      <c r="AI3" s="531"/>
      <c r="AJ3" s="531"/>
      <c r="AK3" s="373"/>
      <c r="AL3" s="373"/>
      <c r="AM3" s="373"/>
      <c r="AN3" s="373"/>
      <c r="AO3" s="373"/>
      <c r="AP3" s="597"/>
      <c r="AQ3" s="598"/>
      <c r="AR3" s="598"/>
      <c r="AS3" s="598"/>
      <c r="AX3" s="292" t="e">
        <f>VLOOKUP(AW2,'Translate&amp;Prices&amp;Logo'!B:D,3,0)</f>
        <v>#N/A</v>
      </c>
      <c r="AY3" s="293" t="e">
        <f>AT9+AX3</f>
        <v>#N/A</v>
      </c>
      <c r="AZ3" s="294"/>
      <c r="BA3" s="293"/>
      <c r="BB3" s="292"/>
      <c r="BC3" s="292"/>
      <c r="BD3" s="596">
        <f>(AI30/1000)*H11</f>
        <v>0</v>
      </c>
      <c r="BE3" s="596"/>
      <c r="BF3" s="596"/>
      <c r="BG3" s="596"/>
      <c r="BH3" s="596"/>
      <c r="BI3" s="596">
        <f>(AR14/1000)*M11</f>
        <v>0</v>
      </c>
      <c r="BJ3" s="596"/>
      <c r="BK3" s="596"/>
      <c r="BL3" s="596"/>
      <c r="BM3" s="596"/>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11" t="str">
        <f>IFERROR(IF(kombinace_6!FC2=TRUE,'Translate&amp;Prices&amp;Logo'!B654,IF(VLOOKUP(H8,kombinace_6!$A:$E,5,0)=3,'Translate&amp;Prices&amp;Logo'!B642,"")), "")</f>
        <v/>
      </c>
      <c r="AC4" s="611"/>
      <c r="AD4" s="611"/>
      <c r="AE4" s="611"/>
      <c r="AF4" s="611"/>
      <c r="AG4" s="611"/>
      <c r="AH4" s="611"/>
      <c r="AI4" s="611"/>
      <c r="AJ4" s="611"/>
      <c r="AK4" s="611"/>
      <c r="AL4" s="611"/>
      <c r="AM4" s="611"/>
      <c r="AN4" s="611"/>
      <c r="AO4" s="74"/>
      <c r="AP4" s="74"/>
      <c r="AQ4" s="74"/>
      <c r="AR4" s="74"/>
      <c r="AS4" s="256"/>
      <c r="AT4" s="295"/>
      <c r="AU4" s="296"/>
      <c r="AV4" s="296"/>
    </row>
    <row r="5" spans="1:65" ht="34.5" customHeight="1" thickBot="1">
      <c r="A5" s="74"/>
      <c r="B5" s="610" t="str">
        <f>'Translate&amp;Prices&amp;Logo'!$B$169&amp;" "&amp;" "&amp;1</f>
        <v>Frame  1</v>
      </c>
      <c r="C5" s="610"/>
      <c r="D5" s="610"/>
      <c r="E5" s="257"/>
      <c r="F5" s="610" t="str">
        <f>'Translate&amp;Prices&amp;Logo'!$B$169&amp;" "&amp;" "&amp;2</f>
        <v>Frame  2</v>
      </c>
      <c r="G5" s="610"/>
      <c r="H5" s="610"/>
      <c r="I5" s="74"/>
      <c r="J5" s="610" t="str">
        <f>'Translate&amp;Prices&amp;Logo'!$B$169&amp;" "&amp;" "&amp;3</f>
        <v>Frame  3</v>
      </c>
      <c r="K5" s="610"/>
      <c r="L5" s="610"/>
      <c r="M5" s="74"/>
      <c r="N5" s="610" t="str">
        <f>'Translate&amp;Prices&amp;Logo'!$B$169&amp;" "&amp;" "&amp;4</f>
        <v>Frame  4</v>
      </c>
      <c r="O5" s="610"/>
      <c r="P5" s="610"/>
      <c r="Q5" s="74"/>
      <c r="R5" s="610" t="str">
        <f>'Translate&amp;Prices&amp;Logo'!$B$169&amp;" "&amp;" "&amp;5</f>
        <v>Frame  5</v>
      </c>
      <c r="S5" s="610"/>
      <c r="T5" s="610"/>
      <c r="U5" s="74"/>
      <c r="V5" s="610" t="str">
        <f>'Translate&amp;Prices&amp;Logo'!$B$169&amp;" "&amp;" "&amp;6</f>
        <v>Frame  6</v>
      </c>
      <c r="W5" s="610"/>
      <c r="X5" s="610"/>
      <c r="Y5" s="74"/>
      <c r="Z5" s="74"/>
      <c r="AA5" s="74"/>
      <c r="AB5" s="612"/>
      <c r="AC5" s="612"/>
      <c r="AD5" s="612"/>
      <c r="AE5" s="612"/>
      <c r="AF5" s="612"/>
      <c r="AG5" s="612"/>
      <c r="AH5" s="612"/>
      <c r="AI5" s="612"/>
      <c r="AJ5" s="612"/>
      <c r="AK5" s="612"/>
      <c r="AL5" s="612"/>
      <c r="AM5" s="612"/>
      <c r="AN5" s="612"/>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13" t="str">
        <f>'Translate&amp;Prices&amp;Logo'!$B$542</f>
        <v>Combination of 2 Profiles</v>
      </c>
      <c r="C7" s="614"/>
      <c r="D7" s="614"/>
      <c r="E7" s="614"/>
      <c r="F7" s="614"/>
      <c r="G7" s="651" t="str">
        <f>IF(kombinace_6!FC2=TRUE,AB4,"")</f>
        <v/>
      </c>
      <c r="H7" s="651"/>
      <c r="I7" s="651"/>
      <c r="J7" s="651"/>
      <c r="K7" s="651"/>
      <c r="L7" s="651"/>
      <c r="M7" s="651"/>
      <c r="N7" s="651"/>
      <c r="O7" s="651"/>
      <c r="P7" s="651"/>
      <c r="Q7" s="652"/>
      <c r="R7" s="384"/>
      <c r="S7" s="618" t="str">
        <f>'Translate&amp;Prices&amp;Logo'!$B$572</f>
        <v>Warning:</v>
      </c>
      <c r="T7" s="618"/>
      <c r="U7" s="618"/>
      <c r="V7" s="74"/>
      <c r="W7" s="74"/>
      <c r="X7" s="74"/>
      <c r="Y7" s="74"/>
      <c r="Z7" s="231"/>
      <c r="AA7" s="219"/>
      <c r="AB7" s="220"/>
      <c r="AC7" s="221"/>
      <c r="AD7" s="221"/>
      <c r="AE7" s="221"/>
      <c r="AF7" s="221"/>
      <c r="AG7" s="222"/>
      <c r="AH7" s="222"/>
      <c r="AI7" s="223"/>
      <c r="AJ7" s="617">
        <v>0</v>
      </c>
      <c r="AK7" s="221"/>
      <c r="AL7" s="221"/>
      <c r="AM7" s="221"/>
      <c r="AN7" s="221"/>
      <c r="AO7" s="224"/>
      <c r="AP7" s="225"/>
      <c r="AQ7" s="468"/>
      <c r="AR7" s="74"/>
      <c r="AS7" s="74"/>
      <c r="AT7" s="292"/>
      <c r="AU7" s="299">
        <f>VLOOKUP(H8,kombinace_6!$A:$B,2,0)</f>
        <v>2</v>
      </c>
      <c r="AV7" s="293" t="str">
        <f>IF(AU7=2,"Široký",IF(AU7=1,"Úzký",IF(AU7=3,"kombo")))</f>
        <v>Široký</v>
      </c>
    </row>
    <row r="8" spans="1:65" ht="45.6" customHeight="1">
      <c r="A8" s="212"/>
      <c r="B8" s="376" t="str">
        <f>'Translate&amp;Prices&amp;Logo'!$B$653</f>
        <v>Mesh frame filler</v>
      </c>
      <c r="C8" s="377"/>
      <c r="D8" s="377"/>
      <c r="E8" s="378" t="str">
        <f>'Translate&amp;Prices&amp;Logo'!$B$172</f>
        <v>Type of profile</v>
      </c>
      <c r="F8" s="378"/>
      <c r="G8" s="383"/>
      <c r="H8" s="619"/>
      <c r="I8" s="619"/>
      <c r="J8" s="619"/>
      <c r="K8" s="619"/>
      <c r="L8" s="619"/>
      <c r="M8" s="619"/>
      <c r="N8" s="619"/>
      <c r="O8" s="619"/>
      <c r="P8" s="619"/>
      <c r="Q8" s="620"/>
      <c r="R8" s="385"/>
      <c r="S8" s="633">
        <f>IF(AU10&gt;0,'Translate&amp;Prices&amp;Logo'!B303,IF(H8=kombinace_6!A54,'Translate&amp;Prices&amp;Logo'!B580,0))</f>
        <v>0</v>
      </c>
      <c r="T8" s="634"/>
      <c r="U8" s="634"/>
      <c r="V8" s="634"/>
      <c r="W8" s="634"/>
      <c r="X8" s="634"/>
      <c r="Y8" s="635"/>
      <c r="Z8" s="231"/>
      <c r="AA8" s="227"/>
      <c r="AB8" s="74"/>
      <c r="AC8" s="616" t="str">
        <f>'Translate&amp;Prices&amp;Logo'!$B$242</f>
        <v>Distance from edge</v>
      </c>
      <c r="AD8" s="616"/>
      <c r="AE8" s="616"/>
      <c r="AF8" s="616"/>
      <c r="AG8" s="616"/>
      <c r="AH8" s="74"/>
      <c r="AI8" s="211"/>
      <c r="AJ8" s="617"/>
      <c r="AK8" s="74"/>
      <c r="AL8" s="74"/>
      <c r="AM8" s="74"/>
      <c r="AN8" s="74"/>
      <c r="AO8" s="74"/>
      <c r="AP8" s="227"/>
      <c r="AQ8" s="468"/>
      <c r="AR8" s="74"/>
      <c r="AS8" s="74"/>
      <c r="AT8" s="292" t="e">
        <f>VLOOKUP(VLOOKUP(H8,'Translate&amp;Prices&amp;Logo'!B77:C82,2,0),'Translate&amp;Prices&amp;Logo'!B6:C60,2,0)</f>
        <v>#N/A</v>
      </c>
      <c r="AU8" s="293"/>
      <c r="AV8" s="293"/>
    </row>
    <row r="9" spans="1:65" ht="15.6" customHeight="1">
      <c r="A9" s="212"/>
      <c r="B9" s="624">
        <f>IFERROR(IF(AND(VLOOKUP(H8,kombinace_6!$A:$D,4,0)=1,kombinace_6!FC2=FALSE),'Translate&amp;Prices&amp;Logo'!$B$543,0),0)</f>
        <v>0</v>
      </c>
      <c r="C9" s="625"/>
      <c r="D9" s="625"/>
      <c r="E9" s="625"/>
      <c r="F9" s="625"/>
      <c r="G9" s="249"/>
      <c r="H9" s="605"/>
      <c r="I9" s="605"/>
      <c r="J9" s="605"/>
      <c r="K9" s="605"/>
      <c r="L9" s="605"/>
      <c r="M9" s="605"/>
      <c r="N9" s="605"/>
      <c r="O9" s="605"/>
      <c r="P9" s="605"/>
      <c r="Q9" s="606"/>
      <c r="R9" s="74"/>
      <c r="S9" s="627"/>
      <c r="T9" s="628"/>
      <c r="U9" s="628"/>
      <c r="V9" s="628"/>
      <c r="W9" s="628"/>
      <c r="X9" s="628"/>
      <c r="Y9" s="629"/>
      <c r="Z9" s="231"/>
      <c r="AA9" s="228"/>
      <c r="AB9" s="74"/>
      <c r="AC9" s="621">
        <v>0</v>
      </c>
      <c r="AD9" s="621"/>
      <c r="AE9" s="226"/>
      <c r="AF9" s="615" t="str">
        <f>('Translate&amp;Prices&amp;Logo'!$B$548)&amp;" "&amp;H26&amp;" "&amp;"mm"</f>
        <v>Pitch  mm</v>
      </c>
      <c r="AG9" s="615"/>
      <c r="AH9" s="615"/>
      <c r="AI9" s="615"/>
      <c r="AJ9" s="615"/>
      <c r="AK9" s="615"/>
      <c r="AL9" s="74"/>
      <c r="AM9" s="74"/>
      <c r="AN9" s="74"/>
      <c r="AO9" s="74"/>
      <c r="AP9" s="228"/>
      <c r="AQ9" s="468"/>
      <c r="AR9" s="74"/>
      <c r="AS9" s="74"/>
      <c r="AT9" s="292" t="e">
        <f>VLOOKUP(VLOOKUP(H8,'Translate&amp;Prices&amp;Logo'!B77:C82,2,0),'Translate&amp;Prices&amp;Logo'!B6:D60,3,0)</f>
        <v>#N/A</v>
      </c>
      <c r="AU9" s="299" t="str">
        <f>IFERROR((VLOOKUP(H12,kombinace_6!$DP$2:$DQ$3,2,0)),"")</f>
        <v/>
      </c>
      <c r="AV9" s="293"/>
    </row>
    <row r="10" spans="1:65" ht="18" customHeight="1">
      <c r="A10" s="212"/>
      <c r="B10" s="258"/>
      <c r="C10" s="250"/>
      <c r="D10" s="250"/>
      <c r="E10" s="250"/>
      <c r="F10" s="250"/>
      <c r="G10" s="250"/>
      <c r="H10" s="603"/>
      <c r="I10" s="603"/>
      <c r="J10" s="603"/>
      <c r="K10" s="603"/>
      <c r="L10" s="609"/>
      <c r="M10" s="603"/>
      <c r="N10" s="603"/>
      <c r="O10" s="603"/>
      <c r="P10" s="603"/>
      <c r="Q10" s="604"/>
      <c r="R10" s="212"/>
      <c r="S10" s="627">
        <f>IF(AU10&gt;0,'Translate&amp;Prices&amp;Logo'!B571,0)</f>
        <v>0</v>
      </c>
      <c r="T10" s="628"/>
      <c r="U10" s="628"/>
      <c r="V10" s="628"/>
      <c r="W10" s="628"/>
      <c r="X10" s="628"/>
      <c r="Y10" s="629"/>
      <c r="Z10" s="231"/>
      <c r="AA10" s="228"/>
      <c r="AB10" s="74"/>
      <c r="AC10" s="74"/>
      <c r="AD10" s="622">
        <v>0</v>
      </c>
      <c r="AE10" s="663" t="str">
        <f>'Translate&amp;Prices&amp;Logo'!$B$637</f>
        <v>Distance from the top edge</v>
      </c>
      <c r="AF10" s="74"/>
      <c r="AG10" s="74"/>
      <c r="AH10" s="74"/>
      <c r="AI10" s="211"/>
      <c r="AJ10" s="212"/>
      <c r="AK10" s="74"/>
      <c r="AL10" s="74"/>
      <c r="AM10" s="74"/>
      <c r="AN10" s="74"/>
      <c r="AO10" s="74"/>
      <c r="AP10" s="228"/>
      <c r="AQ10" s="468"/>
      <c r="AR10" s="74"/>
      <c r="AS10" s="74"/>
      <c r="AT10" s="292" t="s">
        <v>2153</v>
      </c>
      <c r="AU10" s="293">
        <f>IFERROR(VLOOKUP(H9,kombinace_6!$BY$13:$BZ$15,2,0),0)</f>
        <v>0</v>
      </c>
      <c r="AV10" s="293"/>
    </row>
    <row r="11" spans="1:65" ht="18" customHeight="1">
      <c r="A11" s="212"/>
      <c r="B11" s="647" t="str">
        <f>('Translate&amp;Prices&amp;Logo'!$B$543)&amp;" "&amp;"("&amp;'Translate&amp;Prices&amp;Logo'!$B$174&amp;")"</f>
        <v>Dividing bars (Quantity)</v>
      </c>
      <c r="C11" s="648"/>
      <c r="D11" s="648"/>
      <c r="E11" s="648"/>
      <c r="F11" s="648"/>
      <c r="G11" s="249"/>
      <c r="H11" s="607"/>
      <c r="I11" s="607"/>
      <c r="J11" s="607"/>
      <c r="K11" s="607"/>
      <c r="L11" s="608"/>
      <c r="M11" s="607"/>
      <c r="N11" s="607"/>
      <c r="O11" s="607"/>
      <c r="P11" s="607"/>
      <c r="Q11" s="623"/>
      <c r="R11" s="212"/>
      <c r="S11" s="627"/>
      <c r="T11" s="628"/>
      <c r="U11" s="628"/>
      <c r="V11" s="628"/>
      <c r="W11" s="628"/>
      <c r="X11" s="628"/>
      <c r="Y11" s="629"/>
      <c r="Z11" s="231"/>
      <c r="AA11" s="229"/>
      <c r="AB11" s="230"/>
      <c r="AC11" s="74"/>
      <c r="AD11" s="622"/>
      <c r="AE11" s="663"/>
      <c r="AF11" s="74"/>
      <c r="AG11" s="74"/>
      <c r="AH11" s="74"/>
      <c r="AI11" s="211"/>
      <c r="AJ11" s="212"/>
      <c r="AK11" s="74"/>
      <c r="AL11" s="74"/>
      <c r="AM11" s="74"/>
      <c r="AN11" s="74"/>
      <c r="AO11" s="231"/>
      <c r="AP11" s="225"/>
      <c r="AQ11" s="468"/>
      <c r="AR11" s="74"/>
      <c r="AS11" s="74"/>
      <c r="AT11" s="299">
        <f>IFERROR(IF(kombinace_6!$H$1=TRUE,BA2+AY3,0),0)</f>
        <v>0</v>
      </c>
      <c r="AU11" s="299"/>
      <c r="AV11" s="293"/>
    </row>
    <row r="12" spans="1:65" ht="18" customHeight="1">
      <c r="A12" s="212"/>
      <c r="B12" s="624" t="str">
        <f>'Translate&amp;Prices&amp;Logo'!$B$258</f>
        <v>Type of fittings</v>
      </c>
      <c r="C12" s="625"/>
      <c r="D12" s="625"/>
      <c r="E12" s="625"/>
      <c r="F12" s="625"/>
      <c r="G12" s="249"/>
      <c r="H12" s="605"/>
      <c r="I12" s="605"/>
      <c r="J12" s="605"/>
      <c r="K12" s="605"/>
      <c r="L12" s="605"/>
      <c r="M12" s="605"/>
      <c r="N12" s="605"/>
      <c r="O12" s="605"/>
      <c r="P12" s="605"/>
      <c r="Q12" s="606"/>
      <c r="R12" s="212"/>
      <c r="S12" s="627"/>
      <c r="T12" s="628"/>
      <c r="U12" s="628"/>
      <c r="V12" s="628"/>
      <c r="W12" s="628"/>
      <c r="X12" s="628"/>
      <c r="Y12" s="629"/>
      <c r="Z12" s="231"/>
      <c r="AA12" s="229"/>
      <c r="AB12" s="230"/>
      <c r="AC12" s="74"/>
      <c r="AD12" s="622"/>
      <c r="AE12" s="663"/>
      <c r="AF12" s="74"/>
      <c r="AG12" s="74"/>
      <c r="AH12" s="74"/>
      <c r="AI12" s="211"/>
      <c r="AJ12" s="212"/>
      <c r="AK12" s="74"/>
      <c r="AL12" s="74"/>
      <c r="AM12" s="74"/>
      <c r="AN12" s="74"/>
      <c r="AO12" s="231"/>
      <c r="AP12" s="225"/>
      <c r="AQ12" s="468"/>
      <c r="AR12" s="74"/>
      <c r="AS12" s="74"/>
      <c r="AT12" s="293"/>
      <c r="AU12" s="293"/>
      <c r="AV12" s="293"/>
    </row>
    <row r="13" spans="1:65" ht="18" customHeight="1" thickBot="1">
      <c r="A13" s="212"/>
      <c r="B13" s="624" t="str">
        <f>'Translate&amp;Prices&amp;Logo'!$B$544</f>
        <v>Fittings brand</v>
      </c>
      <c r="C13" s="625"/>
      <c r="D13" s="625"/>
      <c r="E13" s="625"/>
      <c r="F13" s="625"/>
      <c r="G13" s="249"/>
      <c r="H13" s="605"/>
      <c r="I13" s="605"/>
      <c r="J13" s="605"/>
      <c r="K13" s="605"/>
      <c r="L13" s="605"/>
      <c r="M13" s="605"/>
      <c r="N13" s="605"/>
      <c r="O13" s="605"/>
      <c r="P13" s="605"/>
      <c r="Q13" s="606"/>
      <c r="R13" s="212"/>
      <c r="S13" s="627">
        <f>IF(H13="Salice"," ",IF(H19&gt;=2,'Translate&amp;Prices&amp;Logo'!B575,0))</f>
        <v>0</v>
      </c>
      <c r="T13" s="628"/>
      <c r="U13" s="628"/>
      <c r="V13" s="628"/>
      <c r="W13" s="628"/>
      <c r="X13" s="628"/>
      <c r="Y13" s="629"/>
      <c r="Z13" s="231"/>
      <c r="AA13" s="229"/>
      <c r="AB13" s="230"/>
      <c r="AC13" s="74"/>
      <c r="AD13" s="226"/>
      <c r="AE13" s="663"/>
      <c r="AF13" s="74"/>
      <c r="AG13" s="74"/>
      <c r="AH13" s="74"/>
      <c r="AI13" s="211"/>
      <c r="AJ13" s="212"/>
      <c r="AK13" s="74"/>
      <c r="AL13" s="74"/>
      <c r="AM13" s="74"/>
      <c r="AN13" s="74"/>
      <c r="AO13" s="231"/>
      <c r="AP13" s="225"/>
      <c r="AQ13" s="468"/>
      <c r="AR13" s="74"/>
      <c r="AS13" s="74"/>
      <c r="AT13" s="412">
        <f>IFERROR((((AI30/1000)+(AR14/1000))*2)*(VLOOKUP(H8,'Translate&amp;Prices&amp;Logo'!B6:C74,2,0))+(VLOOKUP(H8,'Translate&amp;Prices&amp;Logo'!B6:D74,3,0)),0)</f>
        <v>0</v>
      </c>
      <c r="AU13" s="299"/>
      <c r="AV13" s="293"/>
    </row>
    <row r="14" spans="1:65" ht="18" customHeight="1">
      <c r="A14" s="212"/>
      <c r="B14" s="624">
        <f>IFERROR(IF(H12='Translate&amp;Prices&amp;Logo'!B551,'Translate&amp;Prices&amp;Logo'!$B$546,0),0)</f>
        <v>0</v>
      </c>
      <c r="C14" s="625"/>
      <c r="D14" s="625"/>
      <c r="E14" s="625"/>
      <c r="F14" s="625"/>
      <c r="G14" s="249"/>
      <c r="H14" s="605"/>
      <c r="I14" s="605"/>
      <c r="J14" s="605"/>
      <c r="K14" s="605"/>
      <c r="L14" s="605"/>
      <c r="M14" s="605"/>
      <c r="N14" s="605"/>
      <c r="O14" s="605"/>
      <c r="P14" s="605"/>
      <c r="Q14" s="606"/>
      <c r="R14" s="212"/>
      <c r="S14" s="627"/>
      <c r="T14" s="628"/>
      <c r="U14" s="628"/>
      <c r="V14" s="628"/>
      <c r="W14" s="628"/>
      <c r="X14" s="628"/>
      <c r="Y14" s="629"/>
      <c r="Z14" s="231"/>
      <c r="AA14" s="229"/>
      <c r="AB14" s="230"/>
      <c r="AC14" s="74"/>
      <c r="AD14" s="626" t="str">
        <f>('Translate&amp;Prices&amp;Logo'!$B$548)&amp;" "&amp;H26&amp;" "&amp;"mm"</f>
        <v>Pitch  mm</v>
      </c>
      <c r="AE14" s="663"/>
      <c r="AF14" s="74"/>
      <c r="AG14" s="74"/>
      <c r="AH14" s="74"/>
      <c r="AI14" s="211"/>
      <c r="AJ14" s="212"/>
      <c r="AK14" s="74"/>
      <c r="AL14" s="74"/>
      <c r="AM14" s="661" t="str">
        <f>('Translate&amp;Prices&amp;Logo'!$B$548)&amp;" "&amp;H26&amp;" "&amp;"mm"</f>
        <v>Pitch  mm</v>
      </c>
      <c r="AN14" s="74"/>
      <c r="AO14" s="232"/>
      <c r="AP14" s="225"/>
      <c r="AQ14" s="468"/>
      <c r="AR14" s="602"/>
      <c r="AS14" s="74"/>
      <c r="AT14" s="299"/>
      <c r="AU14" s="293"/>
      <c r="AV14" s="293"/>
      <c r="AW14" s="318" t="s">
        <v>3169</v>
      </c>
    </row>
    <row r="15" spans="1:65" ht="18" customHeight="1" thickBot="1">
      <c r="A15" s="212"/>
      <c r="B15" s="624" t="str">
        <f>'Translate&amp;Prices&amp;Logo'!$B$545</f>
        <v>Fittings variant</v>
      </c>
      <c r="C15" s="625"/>
      <c r="D15" s="625"/>
      <c r="E15" s="625"/>
      <c r="F15" s="625"/>
      <c r="G15" s="249"/>
      <c r="H15" s="605"/>
      <c r="I15" s="605"/>
      <c r="J15" s="605"/>
      <c r="K15" s="605"/>
      <c r="L15" s="605"/>
      <c r="M15" s="605"/>
      <c r="N15" s="605"/>
      <c r="O15" s="605"/>
      <c r="P15" s="605"/>
      <c r="Q15" s="606"/>
      <c r="R15" s="212"/>
      <c r="S15" s="627"/>
      <c r="T15" s="628"/>
      <c r="U15" s="628"/>
      <c r="V15" s="628"/>
      <c r="W15" s="628"/>
      <c r="X15" s="628"/>
      <c r="Y15" s="629"/>
      <c r="Z15" s="231"/>
      <c r="AA15" s="229"/>
      <c r="AB15" s="233"/>
      <c r="AC15" s="74"/>
      <c r="AD15" s="626"/>
      <c r="AE15" s="663"/>
      <c r="AF15" s="74"/>
      <c r="AG15" s="74"/>
      <c r="AH15" s="74"/>
      <c r="AI15" s="211"/>
      <c r="AJ15" s="212"/>
      <c r="AK15" s="74"/>
      <c r="AL15" s="74"/>
      <c r="AM15" s="661"/>
      <c r="AN15" s="74"/>
      <c r="AO15" s="232"/>
      <c r="AP15" s="225"/>
      <c r="AQ15" s="468"/>
      <c r="AR15" s="602"/>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5" t="str">
        <f>IF(H15=kombinace_6!AB40,'Translate&amp;Prices&amp;Logo'!$B$224,IF(H15=kombinace_6!AB41,'Translate&amp;Prices&amp;Logo'!$B$224,IF(H12='závěsy dle výklopu'!BQ2,'Translate&amp;Prices&amp;Logo'!$B$222,'Translate&amp;Prices&amp;Logo'!$B$218)))</f>
        <v>Select Frame Position</v>
      </c>
      <c r="C16" s="646"/>
      <c r="D16" s="646"/>
      <c r="E16" s="646"/>
      <c r="F16" s="644"/>
      <c r="G16" s="644"/>
      <c r="H16" s="644"/>
      <c r="I16" s="644"/>
      <c r="J16" s="640" t="str">
        <f>IF(OR(H15=kombinace_6!AB40,H15=kombinace_6!AB7,H15=kombinace_6!AB15,H15=kombinace_6!AB20,H15=kombinace_6!AB21,H15=kombinace_6!AB22),'Translate&amp;Prices&amp;Logo'!$B$226,IF(H15=kombinace_6!AB41,'Translate&amp;Prices&amp;Logo'!$B$226,'Translate&amp;Prices&amp;Logo'!$B$232))</f>
        <v>Second door type</v>
      </c>
      <c r="K16" s="640"/>
      <c r="L16" s="640"/>
      <c r="M16" s="640"/>
      <c r="N16" s="638"/>
      <c r="O16" s="638"/>
      <c r="P16" s="638"/>
      <c r="Q16" s="639"/>
      <c r="R16" s="212"/>
      <c r="S16" s="627"/>
      <c r="T16" s="628"/>
      <c r="U16" s="628"/>
      <c r="V16" s="628"/>
      <c r="W16" s="628"/>
      <c r="X16" s="628"/>
      <c r="Y16" s="629"/>
      <c r="Z16" s="231"/>
      <c r="AA16" s="229"/>
      <c r="AB16" s="233"/>
      <c r="AC16" s="74"/>
      <c r="AD16" s="626"/>
      <c r="AE16" s="663"/>
      <c r="AF16" s="74"/>
      <c r="AG16" s="74"/>
      <c r="AH16" s="74"/>
      <c r="AI16" s="211"/>
      <c r="AJ16" s="212"/>
      <c r="AK16" s="74"/>
      <c r="AL16" s="74"/>
      <c r="AM16" s="661"/>
      <c r="AN16" s="74"/>
      <c r="AO16" s="232"/>
      <c r="AP16" s="225"/>
      <c r="AQ16" s="468"/>
      <c r="AR16" s="602"/>
      <c r="AS16" s="74"/>
      <c r="AT16" s="299"/>
      <c r="AU16" s="293">
        <f>(AI30/1000)/AU15</f>
        <v>0</v>
      </c>
      <c r="AV16" s="293">
        <f>(AR14/1000)/AV15</f>
        <v>0</v>
      </c>
      <c r="AW16" s="320">
        <f>(2*AU16)+(2*AV16)</f>
        <v>0</v>
      </c>
    </row>
    <row r="17" spans="1:52" ht="18" customHeight="1">
      <c r="A17" s="212"/>
      <c r="B17" s="624">
        <f>IF(H12='Translate&amp;Prices&amp;Logo'!B551,'Translate&amp;Prices&amp;Logo'!B238,IF(H15=kombinace_6!AB8,'Translate&amp;Prices&amp;Logo'!B284,0))</f>
        <v>0</v>
      </c>
      <c r="C17" s="625"/>
      <c r="D17" s="625"/>
      <c r="E17" s="625"/>
      <c r="F17" s="625"/>
      <c r="G17" s="249"/>
      <c r="H17" s="605"/>
      <c r="I17" s="605"/>
      <c r="J17" s="605"/>
      <c r="K17" s="605"/>
      <c r="L17" s="605"/>
      <c r="M17" s="605"/>
      <c r="N17" s="605"/>
      <c r="O17" s="605"/>
      <c r="P17" s="605"/>
      <c r="Q17" s="606"/>
      <c r="R17" s="212"/>
      <c r="S17" s="627"/>
      <c r="T17" s="628"/>
      <c r="U17" s="628"/>
      <c r="V17" s="628"/>
      <c r="W17" s="628"/>
      <c r="X17" s="628"/>
      <c r="Y17" s="629"/>
      <c r="Z17" s="231"/>
      <c r="AA17" s="229"/>
      <c r="AB17" s="233"/>
      <c r="AC17" s="74"/>
      <c r="AD17" s="626"/>
      <c r="AE17" s="74"/>
      <c r="AF17" s="74"/>
      <c r="AG17" s="74"/>
      <c r="AH17" s="74"/>
      <c r="AI17" s="211"/>
      <c r="AJ17" s="212"/>
      <c r="AK17" s="74"/>
      <c r="AL17" s="74"/>
      <c r="AM17" s="661"/>
      <c r="AN17" s="74"/>
      <c r="AO17" s="232"/>
      <c r="AP17" s="225"/>
      <c r="AQ17" s="468"/>
      <c r="AR17" s="602"/>
      <c r="AS17" s="74"/>
      <c r="AT17" s="299">
        <f>IF(AU10=1,BD3*'Translate&amp;Prices&amp;Logo'!C51,IF(AU10=2,BI3*'Translate&amp;Prices&amp;Logo'!C51,IF(AU10=3,(BD3+BI3)*'Translate&amp;Prices&amp;Logo'!C51,IF(AU10=0,0))))</f>
        <v>0</v>
      </c>
      <c r="AU17" s="293" t="e">
        <f>IF(H13&lt;&gt;"Salice",AU23,0)</f>
        <v>#N/A</v>
      </c>
      <c r="AV17" s="293">
        <f>IF(H13="Salice",VLOOKUP(H17,kombinace_6!$BY:$BZ,2,0),0)</f>
        <v>0</v>
      </c>
    </row>
    <row r="18" spans="1:52" ht="18" customHeight="1">
      <c r="A18" s="212"/>
      <c r="B18" s="624">
        <f>IFERROR(IF(VLOOKUP(H15,kombinace_6!CD:CE,2,0)=1,'Translate&amp;Prices&amp;Logo'!$B$547,0),0)</f>
        <v>0</v>
      </c>
      <c r="C18" s="625"/>
      <c r="D18" s="625"/>
      <c r="E18" s="625"/>
      <c r="F18" s="625"/>
      <c r="G18" s="249"/>
      <c r="H18" s="605"/>
      <c r="I18" s="605"/>
      <c r="J18" s="605"/>
      <c r="K18" s="605"/>
      <c r="L18" s="605"/>
      <c r="M18" s="605"/>
      <c r="N18" s="605"/>
      <c r="O18" s="605"/>
      <c r="P18" s="605"/>
      <c r="Q18" s="606"/>
      <c r="R18" s="212"/>
      <c r="S18" s="627">
        <f>IFERROR((IF(AND(AU7=2,H27&gt;""),'Translate&amp;Prices&amp;Logo'!$B$576,IF(AND(AU7=1,H27&gt;""),'Translate&amp;Prices&amp;Logo'!$B$626,IF(AND(AU7=3,H27&gt;""),'Translate&amp;Prices&amp;Logo'!$B$626,0)))),0)</f>
        <v>0</v>
      </c>
      <c r="T18" s="628"/>
      <c r="U18" s="628"/>
      <c r="V18" s="628"/>
      <c r="W18" s="628"/>
      <c r="X18" s="628"/>
      <c r="Y18" s="629"/>
      <c r="Z18" s="231"/>
      <c r="AA18" s="229"/>
      <c r="AB18" s="233"/>
      <c r="AC18" s="74"/>
      <c r="AD18" s="626"/>
      <c r="AE18" s="74"/>
      <c r="AF18" s="74"/>
      <c r="AG18" s="74"/>
      <c r="AH18" s="74"/>
      <c r="AI18" s="211"/>
      <c r="AJ18" s="212"/>
      <c r="AK18" s="74"/>
      <c r="AL18" s="74"/>
      <c r="AM18" s="661"/>
      <c r="AN18" s="74"/>
      <c r="AO18" s="232"/>
      <c r="AP18" s="225"/>
      <c r="AQ18" s="468"/>
      <c r="AR18" s="602"/>
      <c r="AS18" s="74"/>
      <c r="AT18" s="299"/>
      <c r="AU18" s="293"/>
      <c r="AV18" s="293"/>
    </row>
    <row r="19" spans="1:52" ht="18" customHeight="1">
      <c r="A19" s="212"/>
      <c r="B19" s="624">
        <f>IFERROR(IF(H12='Translate&amp;Prices&amp;Logo'!B551,'Translate&amp;Prices&amp;Logo'!$B$223,IF(VLOOKUP(H15,kombinace_6!CD:CE,2,0)=1,'Translate&amp;Prices&amp;Logo'!$B$223,)),0)</f>
        <v>0</v>
      </c>
      <c r="C19" s="625"/>
      <c r="D19" s="625"/>
      <c r="E19" s="625"/>
      <c r="F19" s="625"/>
      <c r="G19" s="249"/>
      <c r="H19" s="605"/>
      <c r="I19" s="605"/>
      <c r="J19" s="605"/>
      <c r="K19" s="605"/>
      <c r="L19" s="605"/>
      <c r="M19" s="605"/>
      <c r="N19" s="605"/>
      <c r="O19" s="605"/>
      <c r="P19" s="605"/>
      <c r="Q19" s="606"/>
      <c r="R19" s="212"/>
      <c r="S19" s="627"/>
      <c r="T19" s="628"/>
      <c r="U19" s="628"/>
      <c r="V19" s="628"/>
      <c r="W19" s="628"/>
      <c r="X19" s="628"/>
      <c r="Y19" s="629"/>
      <c r="Z19" s="231"/>
      <c r="AA19" s="228"/>
      <c r="AB19" s="601">
        <v>0</v>
      </c>
      <c r="AC19" s="601"/>
      <c r="AD19" s="626"/>
      <c r="AE19" s="74"/>
      <c r="AF19" s="74"/>
      <c r="AG19" s="74"/>
      <c r="AH19" s="74"/>
      <c r="AI19" s="310"/>
      <c r="AJ19" s="212"/>
      <c r="AK19" s="74"/>
      <c r="AL19" s="660" t="str">
        <f>'Translate&amp;Prices&amp;Logo'!$B$636</f>
        <v>Distance from the bottom edge</v>
      </c>
      <c r="AM19" s="661"/>
      <c r="AN19" s="601">
        <v>0</v>
      </c>
      <c r="AO19" s="601"/>
      <c r="AP19" s="227"/>
      <c r="AQ19" s="468"/>
      <c r="AR19" s="600" t="str">
        <f>'Translate&amp;Prices&amp;Logo'!$B$176</f>
        <v>Height</v>
      </c>
      <c r="AS19" s="74"/>
      <c r="AT19" s="299"/>
      <c r="AU19" s="291">
        <f>IFERROR(IF(H12='závěsy dle výklopu'!BR2,VLOOKUP(H15,kombinace_6!$CD$3:$CF$18,3,0),IF(H12='závěsy dle výklopu'!BQ2,1,0)),0)</f>
        <v>0</v>
      </c>
      <c r="AV19" s="293">
        <f>IFERROR(VLOOKUP(H15,kombinace_6!$CD:$CF,3,0),0)</f>
        <v>0</v>
      </c>
    </row>
    <row r="20" spans="1:52" ht="18" customHeight="1">
      <c r="A20" s="212"/>
      <c r="B20" s="649">
        <f>IF(H13&lt;&gt;"Salice",(IFERROR('Translate&amp;Prices&amp;Logo'!$B$242&amp;" "&amp;(VLOOKUP(H17,kombinace_6!$BY$32:$CA$35,2,0)),0)),0)</f>
        <v>0</v>
      </c>
      <c r="C20" s="650"/>
      <c r="D20" s="650"/>
      <c r="E20" s="650"/>
      <c r="F20" s="636">
        <v>100</v>
      </c>
      <c r="G20" s="636"/>
      <c r="H20" s="636"/>
      <c r="I20" s="636"/>
      <c r="J20" s="650">
        <f>IFERROR('Translate&amp;Prices&amp;Logo'!$B$242&amp;" "&amp;(VLOOKUP(H17,kombinace_6!$BY$32:$CA$35,3,0)),0)</f>
        <v>0</v>
      </c>
      <c r="K20" s="650"/>
      <c r="L20" s="650"/>
      <c r="M20" s="650"/>
      <c r="N20" s="636">
        <v>100</v>
      </c>
      <c r="O20" s="636"/>
      <c r="P20" s="636"/>
      <c r="Q20" s="637"/>
      <c r="R20" s="212"/>
      <c r="S20" s="627"/>
      <c r="T20" s="628"/>
      <c r="U20" s="628"/>
      <c r="V20" s="628"/>
      <c r="W20" s="628"/>
      <c r="X20" s="628"/>
      <c r="Y20" s="629"/>
      <c r="Z20" s="231"/>
      <c r="AA20" s="229"/>
      <c r="AB20" s="230"/>
      <c r="AC20" s="74"/>
      <c r="AD20" s="626"/>
      <c r="AE20" s="74"/>
      <c r="AF20" s="74"/>
      <c r="AG20" s="74"/>
      <c r="AH20" s="74"/>
      <c r="AI20" s="211"/>
      <c r="AJ20" s="212"/>
      <c r="AK20" s="74"/>
      <c r="AL20" s="660"/>
      <c r="AM20" s="661"/>
      <c r="AN20" s="74"/>
      <c r="AO20" s="232"/>
      <c r="AP20" s="225"/>
      <c r="AQ20" s="468"/>
      <c r="AR20" s="600"/>
      <c r="AS20" s="74"/>
      <c r="AT20" s="299"/>
      <c r="AU20" s="293"/>
      <c r="AV20" s="293"/>
    </row>
    <row r="21" spans="1:52" ht="18" customHeight="1">
      <c r="A21" s="212"/>
      <c r="B21" s="624" t="str">
        <f>IF(kombinace_6!FC2=FALSE,'Translate&amp;Prices&amp;Logo'!$B$173," ")</f>
        <v>Type of glass</v>
      </c>
      <c r="C21" s="625"/>
      <c r="D21" s="625"/>
      <c r="E21" s="625"/>
      <c r="F21" s="625"/>
      <c r="G21" s="249"/>
      <c r="H21" s="605"/>
      <c r="I21" s="605"/>
      <c r="J21" s="605"/>
      <c r="K21" s="605"/>
      <c r="L21" s="605"/>
      <c r="M21" s="605"/>
      <c r="N21" s="605"/>
      <c r="O21" s="605"/>
      <c r="P21" s="605"/>
      <c r="Q21" s="606"/>
      <c r="R21" s="212"/>
      <c r="S21" s="627"/>
      <c r="T21" s="628"/>
      <c r="U21" s="628"/>
      <c r="V21" s="628"/>
      <c r="W21" s="628"/>
      <c r="X21" s="628"/>
      <c r="Y21" s="629"/>
      <c r="Z21" s="231"/>
      <c r="AA21" s="229"/>
      <c r="AB21" s="230"/>
      <c r="AC21" s="74"/>
      <c r="AD21" s="626"/>
      <c r="AE21" s="74"/>
      <c r="AF21" s="74"/>
      <c r="AG21" s="74"/>
      <c r="AH21" s="74"/>
      <c r="AI21" s="211"/>
      <c r="AJ21" s="212"/>
      <c r="AK21" s="74"/>
      <c r="AL21" s="660"/>
      <c r="AM21" s="661"/>
      <c r="AN21" s="74"/>
      <c r="AO21" s="231"/>
      <c r="AP21" s="225"/>
      <c r="AQ21" s="468"/>
      <c r="AR21" s="600"/>
      <c r="AS21" s="74"/>
      <c r="AT21" s="299"/>
      <c r="AU21" s="293"/>
      <c r="AV21" s="293"/>
      <c r="AY21" s="264" t="b">
        <f>AND(AU7=2,H27&gt;"")</f>
        <v>0</v>
      </c>
      <c r="AZ21" s="264" t="b">
        <f>AND(AU7=1,H27&gt;"")</f>
        <v>0</v>
      </c>
    </row>
    <row r="22" spans="1:52" ht="18" customHeight="1">
      <c r="A22" s="212"/>
      <c r="B22" s="379"/>
      <c r="C22" s="380"/>
      <c r="D22" s="380"/>
      <c r="E22" s="380"/>
      <c r="F22" s="380"/>
      <c r="G22" s="250"/>
      <c r="H22" s="250"/>
      <c r="I22" s="250"/>
      <c r="J22" s="250"/>
      <c r="K22" s="250"/>
      <c r="L22" s="250"/>
      <c r="M22" s="250"/>
      <c r="N22" s="250"/>
      <c r="O22" s="250"/>
      <c r="P22" s="250"/>
      <c r="Q22" s="306"/>
      <c r="R22" s="212"/>
      <c r="S22" s="627"/>
      <c r="T22" s="628"/>
      <c r="U22" s="628"/>
      <c r="V22" s="628"/>
      <c r="W22" s="628"/>
      <c r="X22" s="628"/>
      <c r="Y22" s="629"/>
      <c r="Z22" s="231"/>
      <c r="AA22" s="229"/>
      <c r="AB22" s="230"/>
      <c r="AC22" s="74"/>
      <c r="AD22" s="74"/>
      <c r="AE22" s="74"/>
      <c r="AF22" s="74"/>
      <c r="AG22" s="74"/>
      <c r="AH22" s="74"/>
      <c r="AI22" s="211"/>
      <c r="AJ22" s="212"/>
      <c r="AK22" s="74"/>
      <c r="AL22" s="660"/>
      <c r="AM22" s="226"/>
      <c r="AN22" s="74"/>
      <c r="AO22" s="231"/>
      <c r="AP22" s="225"/>
      <c r="AQ22" s="468"/>
      <c r="AR22" s="600"/>
      <c r="AS22" s="74"/>
      <c r="AT22" s="299"/>
      <c r="AU22" s="293"/>
      <c r="AV22" s="293"/>
    </row>
    <row r="23" spans="1:52" ht="18" customHeight="1">
      <c r="A23" s="212"/>
      <c r="B23" s="379"/>
      <c r="C23" s="380"/>
      <c r="D23" s="380"/>
      <c r="E23" s="380"/>
      <c r="F23" s="380"/>
      <c r="G23" s="250"/>
      <c r="H23" s="568" t="str">
        <f>"↥↥  "&amp;'Translate&amp;Prices&amp;Logo'!$B$573&amp;"  ↥↥"</f>
        <v>↥↥  Do not change after you make a choice type of glass/mesh  ↥↥</v>
      </c>
      <c r="I23" s="568"/>
      <c r="J23" s="568"/>
      <c r="K23" s="568"/>
      <c r="L23" s="568"/>
      <c r="M23" s="568"/>
      <c r="N23" s="568"/>
      <c r="O23" s="568"/>
      <c r="P23" s="568"/>
      <c r="Q23" s="662"/>
      <c r="R23" s="212"/>
      <c r="S23" s="630"/>
      <c r="T23" s="631"/>
      <c r="U23" s="631"/>
      <c r="V23" s="631"/>
      <c r="W23" s="631"/>
      <c r="X23" s="631"/>
      <c r="Y23" s="632"/>
      <c r="Z23" s="231"/>
      <c r="AA23" s="229"/>
      <c r="AB23" s="230"/>
      <c r="AC23" s="74"/>
      <c r="AD23" s="74"/>
      <c r="AE23" s="74"/>
      <c r="AF23" s="74"/>
      <c r="AG23" s="74"/>
      <c r="AH23" s="74"/>
      <c r="AI23" s="211"/>
      <c r="AJ23" s="212"/>
      <c r="AK23" s="74"/>
      <c r="AL23" s="660"/>
      <c r="AM23" s="617">
        <v>0</v>
      </c>
      <c r="AN23" s="74"/>
      <c r="AO23" s="231"/>
      <c r="AP23" s="225"/>
      <c r="AQ23" s="468"/>
      <c r="AR23" s="600"/>
      <c r="AS23" s="74"/>
      <c r="AT23" s="299"/>
      <c r="AU23" s="293" t="e">
        <f>VLOOKUP(H17,kombinace_6!$BY$3:$BZ$6,2,0)</f>
        <v>#N/A</v>
      </c>
      <c r="AV23" s="293"/>
    </row>
    <row r="24" spans="1:52" ht="18" customHeight="1">
      <c r="A24" s="212"/>
      <c r="B24" s="685" t="str">
        <f>'Translate&amp;Prices&amp;Logo'!$B$562</f>
        <v>Type of foil</v>
      </c>
      <c r="C24" s="686"/>
      <c r="D24" s="686"/>
      <c r="E24" s="686"/>
      <c r="F24" s="686"/>
      <c r="G24" s="249"/>
      <c r="H24" s="607"/>
      <c r="I24" s="607"/>
      <c r="J24" s="607"/>
      <c r="K24" s="607"/>
      <c r="L24" s="607"/>
      <c r="M24" s="607"/>
      <c r="N24" s="607"/>
      <c r="O24" s="607"/>
      <c r="P24" s="607"/>
      <c r="Q24" s="623"/>
      <c r="R24" s="212"/>
      <c r="S24" s="618" t="str">
        <f>'Translate&amp;Prices&amp;Logo'!$B$177</f>
        <v>Notes</v>
      </c>
      <c r="T24" s="618"/>
      <c r="U24" s="618"/>
      <c r="Z24" s="231"/>
      <c r="AA24" s="229"/>
      <c r="AB24" s="230"/>
      <c r="AC24" s="616" t="str">
        <f>'Translate&amp;Prices&amp;Logo'!$B$242</f>
        <v>Distance from edge</v>
      </c>
      <c r="AD24" s="616"/>
      <c r="AE24" s="616"/>
      <c r="AF24" s="616"/>
      <c r="AG24" s="616"/>
      <c r="AH24" s="74"/>
      <c r="AI24" s="211"/>
      <c r="AJ24" s="212"/>
      <c r="AK24" s="74"/>
      <c r="AL24" s="660"/>
      <c r="AM24" s="617"/>
      <c r="AN24" s="74"/>
      <c r="AO24" s="231"/>
      <c r="AP24" s="234"/>
      <c r="AQ24" s="468"/>
      <c r="AR24" s="74"/>
      <c r="AS24" s="486">
        <f>IF(H28&gt;0,AR14,0)</f>
        <v>0</v>
      </c>
      <c r="AT24" s="299"/>
      <c r="AU24" s="293" t="e">
        <f>CONCATENATE(AU23,"_",H19)</f>
        <v>#N/A</v>
      </c>
      <c r="AV24" s="293"/>
      <c r="AW24" s="264">
        <f>IF(AI30&gt;=2600,1.3,IF(AR14&gt;=2600,1.3,1))</f>
        <v>1</v>
      </c>
    </row>
    <row r="25" spans="1:52" ht="18" customHeight="1">
      <c r="A25" s="212"/>
      <c r="B25" s="624" t="str">
        <f>'Translate&amp;Prices&amp;Logo'!$B$625</f>
        <v>Type of glass/mesh</v>
      </c>
      <c r="C25" s="625"/>
      <c r="D25" s="625"/>
      <c r="E25" s="625"/>
      <c r="F25" s="625"/>
      <c r="G25" s="249"/>
      <c r="H25" s="605"/>
      <c r="I25" s="605"/>
      <c r="J25" s="605"/>
      <c r="K25" s="605"/>
      <c r="L25" s="605"/>
      <c r="M25" s="605"/>
      <c r="N25" s="605"/>
      <c r="O25" s="605"/>
      <c r="P25" s="605"/>
      <c r="Q25" s="606"/>
      <c r="R25" s="212"/>
      <c r="S25" s="665"/>
      <c r="T25" s="666"/>
      <c r="U25" s="666"/>
      <c r="V25" s="666"/>
      <c r="W25" s="666"/>
      <c r="X25" s="666"/>
      <c r="Y25" s="667"/>
      <c r="Z25" s="231"/>
      <c r="AA25" s="229"/>
      <c r="AB25" s="230"/>
      <c r="AC25" s="601">
        <v>0</v>
      </c>
      <c r="AD25" s="601"/>
      <c r="AE25" s="226"/>
      <c r="AF25" s="615" t="str">
        <f>('Translate&amp;Prices&amp;Logo'!$B$548)&amp;" "&amp;H26&amp;" "&amp;"mm"</f>
        <v>Pitch  mm</v>
      </c>
      <c r="AG25" s="615"/>
      <c r="AH25" s="615"/>
      <c r="AI25" s="615"/>
      <c r="AJ25" s="615"/>
      <c r="AK25" s="615"/>
      <c r="AL25" s="660"/>
      <c r="AM25" s="617"/>
      <c r="AN25" s="74"/>
      <c r="AO25" s="231"/>
      <c r="AP25" s="234"/>
      <c r="AQ25" s="468"/>
      <c r="AR25" s="74"/>
      <c r="AS25" s="74"/>
      <c r="AT25" s="299"/>
      <c r="AU25" s="293" t="e">
        <f>VLOOKUP(H27,kombinace_6!$BY:$BZ,2,0)</f>
        <v>#N/A</v>
      </c>
      <c r="AV25" s="293"/>
    </row>
    <row r="26" spans="1:52" ht="18" customHeight="1">
      <c r="A26" s="212"/>
      <c r="B26" s="624" t="str">
        <f>'Translate&amp;Prices&amp;Logo'!$B$549</f>
        <v>Handle diameter (mm)</v>
      </c>
      <c r="C26" s="625"/>
      <c r="D26" s="625"/>
      <c r="E26" s="625"/>
      <c r="F26" s="625"/>
      <c r="G26" s="249"/>
      <c r="H26" s="656"/>
      <c r="I26" s="656"/>
      <c r="J26" s="656"/>
      <c r="K26" s="656"/>
      <c r="L26" s="656"/>
      <c r="M26" s="656"/>
      <c r="N26" s="656"/>
      <c r="O26" s="656"/>
      <c r="P26" s="656"/>
      <c r="Q26" s="657"/>
      <c r="R26" s="212"/>
      <c r="S26" s="668"/>
      <c r="T26" s="669"/>
      <c r="U26" s="669"/>
      <c r="V26" s="669"/>
      <c r="W26" s="669"/>
      <c r="X26" s="669"/>
      <c r="Y26" s="670"/>
      <c r="Z26" s="231"/>
      <c r="AA26" s="229"/>
      <c r="AB26" s="230"/>
      <c r="AC26" s="74"/>
      <c r="AD26" s="74"/>
      <c r="AE26" s="74"/>
      <c r="AF26" s="74"/>
      <c r="AG26" s="74"/>
      <c r="AH26" s="74"/>
      <c r="AI26" s="211"/>
      <c r="AJ26" s="622">
        <v>0</v>
      </c>
      <c r="AK26" s="74"/>
      <c r="AL26" s="74"/>
      <c r="AM26" s="74"/>
      <c r="AN26" s="74"/>
      <c r="AO26" s="231"/>
      <c r="AP26" s="225"/>
      <c r="AQ26" s="468"/>
      <c r="AR26" s="74"/>
      <c r="AS26" s="74"/>
      <c r="AT26" s="299"/>
    </row>
    <row r="27" spans="1:52" ht="18" customHeight="1">
      <c r="A27" s="212"/>
      <c r="B27" s="624" t="str">
        <f>'Translate&amp;Prices&amp;Logo'!$B$550</f>
        <v>Handle position</v>
      </c>
      <c r="C27" s="625"/>
      <c r="D27" s="625"/>
      <c r="E27" s="625"/>
      <c r="F27" s="625"/>
      <c r="G27" s="249"/>
      <c r="H27" s="605"/>
      <c r="I27" s="605"/>
      <c r="J27" s="605"/>
      <c r="K27" s="605"/>
      <c r="L27" s="605"/>
      <c r="M27" s="605"/>
      <c r="N27" s="605"/>
      <c r="O27" s="605"/>
      <c r="P27" s="605"/>
      <c r="Q27" s="606"/>
      <c r="R27" s="212"/>
      <c r="S27" s="668"/>
      <c r="T27" s="669"/>
      <c r="U27" s="669"/>
      <c r="V27" s="669"/>
      <c r="W27" s="669"/>
      <c r="X27" s="669"/>
      <c r="Y27" s="670"/>
      <c r="Z27" s="231"/>
      <c r="AA27" s="219"/>
      <c r="AB27" s="235"/>
      <c r="AC27" s="236"/>
      <c r="AD27" s="236"/>
      <c r="AE27" s="236"/>
      <c r="AF27" s="236"/>
      <c r="AG27" s="236"/>
      <c r="AH27" s="237"/>
      <c r="AI27" s="238"/>
      <c r="AJ27" s="622"/>
      <c r="AK27" s="236"/>
      <c r="AL27" s="236"/>
      <c r="AM27" s="236"/>
      <c r="AN27" s="236"/>
      <c r="AO27" s="239"/>
      <c r="AP27" s="225"/>
      <c r="AQ27" s="468"/>
      <c r="AR27" s="74"/>
      <c r="AS27" s="74"/>
      <c r="AT27" s="299"/>
    </row>
    <row r="28" spans="1:52" ht="18" customHeight="1">
      <c r="A28" s="212"/>
      <c r="B28" s="682" t="str">
        <f>('Translate&amp;Prices&amp;Logo'!$B$174)</f>
        <v>Quantity</v>
      </c>
      <c r="C28" s="683"/>
      <c r="D28" s="683"/>
      <c r="E28" s="683"/>
      <c r="F28" s="683"/>
      <c r="G28" s="249"/>
      <c r="H28" s="642"/>
      <c r="I28" s="642"/>
      <c r="J28" s="642"/>
      <c r="K28" s="642"/>
      <c r="L28" s="642"/>
      <c r="M28" s="642"/>
      <c r="N28" s="642"/>
      <c r="O28" s="642"/>
      <c r="P28" s="642"/>
      <c r="Q28" s="643"/>
      <c r="R28" s="212"/>
      <c r="S28" s="668"/>
      <c r="T28" s="669"/>
      <c r="U28" s="669"/>
      <c r="V28" s="669"/>
      <c r="W28" s="669"/>
      <c r="X28" s="669"/>
      <c r="Y28" s="670"/>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690" t="str">
        <f>IF(Hlavní!$V$39=3,"",'Translate&amp;Prices&amp;Logo'!$B$225&amp;" -&gt; "&amp; 'Translate&amp;Prices&amp;Logo'!B241&amp;":")</f>
        <v>Supply including specified fittings -&gt; select from list:</v>
      </c>
      <c r="E29" s="690"/>
      <c r="F29" s="690"/>
      <c r="G29" s="690"/>
      <c r="H29" s="690"/>
      <c r="I29" s="690"/>
      <c r="J29" s="690"/>
      <c r="K29" s="690"/>
      <c r="L29" s="690"/>
      <c r="M29" s="690"/>
      <c r="N29" s="690"/>
      <c r="O29" s="690"/>
      <c r="P29" s="688"/>
      <c r="Q29" s="689"/>
      <c r="R29" s="212"/>
      <c r="S29" s="668"/>
      <c r="T29" s="669"/>
      <c r="U29" s="669"/>
      <c r="V29" s="669"/>
      <c r="W29" s="669"/>
      <c r="X29" s="669"/>
      <c r="Y29" s="670"/>
      <c r="Z29" s="74"/>
      <c r="AA29" s="265" t="e">
        <f>VLOOKUP(H14,kombinace_6!$DN$7:$DO$24,2,0)</f>
        <v>#N/A</v>
      </c>
      <c r="AB29" s="659">
        <f>IF(kombinace_6!FC2=TRUE,AB4,IF(H12='závěsy dle výklopu'!BQ2,'Translate&amp;Prices&amp;Logo'!B577,0))</f>
        <v>0</v>
      </c>
      <c r="AC29" s="659"/>
      <c r="AD29" s="659"/>
      <c r="AE29" s="659"/>
      <c r="AF29" s="659"/>
      <c r="AG29" s="659"/>
      <c r="AH29" s="659"/>
      <c r="AI29" s="659"/>
      <c r="AJ29" s="659"/>
      <c r="AK29" s="659"/>
      <c r="AL29" s="659"/>
      <c r="AM29" s="659"/>
      <c r="AN29" s="659"/>
      <c r="AO29" s="659"/>
      <c r="AP29" s="265"/>
      <c r="AQ29" s="74"/>
      <c r="AR29" s="74"/>
      <c r="AS29" s="74"/>
      <c r="AT29" s="299"/>
    </row>
    <row r="30" spans="1:52" ht="23.25" customHeight="1">
      <c r="A30" s="212"/>
      <c r="B30" s="678" t="str">
        <f>'Translate&amp;Prices&amp;Logo'!$B$178</f>
        <v>Total price of frames</v>
      </c>
      <c r="C30" s="679"/>
      <c r="D30" s="679"/>
      <c r="E30" s="679"/>
      <c r="F30" s="679"/>
      <c r="G30" s="679"/>
      <c r="H30" s="679"/>
      <c r="I30" s="679"/>
      <c r="J30" s="679"/>
      <c r="K30" s="553"/>
      <c r="L30" s="654">
        <f>IF(OR((AI30&gt;AI43),(AR14&gt;AJ43)),"",((((AT11+AT13+AT15+AT17+AT33+AT35+AT37)*AT43)*(1-(Zakaznik!K21/100)))*AW24))</f>
        <v>0</v>
      </c>
      <c r="M30" s="654"/>
      <c r="N30" s="654"/>
      <c r="O30" s="654"/>
      <c r="P30" s="674" t="str">
        <f>VLOOKUP('Translate&amp;Prices&amp;Logo'!D1,'závěsy dle výklopu'!A204:B209,2,0)</f>
        <v>€</v>
      </c>
      <c r="Q30" s="675"/>
      <c r="R30" s="212"/>
      <c r="S30" s="668"/>
      <c r="T30" s="669"/>
      <c r="U30" s="669"/>
      <c r="V30" s="669"/>
      <c r="W30" s="669"/>
      <c r="X30" s="669"/>
      <c r="Y30" s="670"/>
      <c r="Z30" s="74"/>
      <c r="AA30" s="74"/>
      <c r="AB30" s="212"/>
      <c r="AC30" s="74"/>
      <c r="AD30" s="74"/>
      <c r="AE30" s="74"/>
      <c r="AF30" s="658" t="str">
        <f>'Translate&amp;Prices&amp;Logo'!$B$175</f>
        <v>Width</v>
      </c>
      <c r="AG30" s="658"/>
      <c r="AH30" s="658"/>
      <c r="AI30" s="653"/>
      <c r="AJ30" s="653"/>
      <c r="AK30" s="653"/>
      <c r="AL30" s="74"/>
      <c r="AM30" s="74"/>
      <c r="AN30" s="74"/>
      <c r="AO30" s="74"/>
      <c r="AP30" s="74"/>
      <c r="AQ30" s="74"/>
      <c r="AR30" s="74"/>
      <c r="AS30" s="74"/>
      <c r="AT30" s="299"/>
      <c r="AU30" s="291" t="e">
        <f>HLOOKUP("_Úzký_dolny_K12",kombinace_6!CV2:CW19,3,FALSE)</f>
        <v>#N/A</v>
      </c>
    </row>
    <row r="31" spans="1:52" ht="14.1" customHeight="1" thickBot="1">
      <c r="A31" s="212"/>
      <c r="B31" s="680"/>
      <c r="C31" s="681"/>
      <c r="D31" s="681"/>
      <c r="E31" s="681"/>
      <c r="F31" s="681"/>
      <c r="G31" s="681"/>
      <c r="H31" s="681"/>
      <c r="I31" s="681"/>
      <c r="J31" s="681"/>
      <c r="K31" s="684"/>
      <c r="L31" s="655"/>
      <c r="M31" s="655"/>
      <c r="N31" s="655"/>
      <c r="O31" s="655"/>
      <c r="P31" s="676"/>
      <c r="Q31" s="677"/>
      <c r="R31" s="212"/>
      <c r="S31" s="671"/>
      <c r="T31" s="672"/>
      <c r="U31" s="672"/>
      <c r="V31" s="672"/>
      <c r="W31" s="672"/>
      <c r="X31" s="672"/>
      <c r="Y31" s="673"/>
      <c r="Z31" s="74"/>
      <c r="AA31" s="254"/>
      <c r="AB31" s="245"/>
      <c r="AC31" s="245"/>
      <c r="AD31" s="254"/>
      <c r="AE31" s="254"/>
      <c r="AF31" s="254"/>
      <c r="AG31" s="254"/>
      <c r="AH31" s="254"/>
      <c r="AI31" s="439"/>
      <c r="AJ31" s="254"/>
      <c r="AK31" s="254"/>
      <c r="AL31" s="254"/>
      <c r="AM31" s="254"/>
      <c r="AN31" s="254"/>
      <c r="AO31" s="599" t="str">
        <f>'Translate&amp;Prices&amp;Logo'!$B$567</f>
        <v>Summary</v>
      </c>
      <c r="AP31" s="599"/>
      <c r="AQ31" s="599"/>
      <c r="AR31" s="599"/>
      <c r="AS31" s="74"/>
      <c r="AT31" s="299"/>
      <c r="AU31" s="291" t="str">
        <f>AD44</f>
        <v>_Široký_</v>
      </c>
    </row>
    <row r="32" spans="1:52" ht="17.25" customHeight="1">
      <c r="A32" s="212"/>
      <c r="B32" s="641" t="str">
        <f>'Translate&amp;Prices&amp;Logo'!$B$171</f>
        <v>Prices shown are VAT-free and do not include price of the fittings required!</v>
      </c>
      <c r="C32" s="641"/>
      <c r="D32" s="641"/>
      <c r="E32" s="641"/>
      <c r="F32" s="641"/>
      <c r="G32" s="641"/>
      <c r="H32" s="641"/>
      <c r="I32" s="641"/>
      <c r="J32" s="641"/>
      <c r="K32" s="641"/>
      <c r="L32" s="641"/>
      <c r="M32" s="641"/>
      <c r="N32" s="641"/>
      <c r="O32" s="641"/>
      <c r="P32" s="641"/>
      <c r="Q32" s="641"/>
      <c r="R32" s="212"/>
      <c r="S32" s="74"/>
      <c r="T32" s="74"/>
      <c r="U32" s="74"/>
      <c r="V32" s="74"/>
      <c r="W32" s="74"/>
      <c r="X32" s="74"/>
      <c r="Y32" s="74"/>
      <c r="Z32" s="74"/>
      <c r="AA32" s="74"/>
      <c r="AB32" s="212"/>
      <c r="AC32" s="74"/>
      <c r="AD32" s="74"/>
      <c r="AE32" s="74"/>
      <c r="AF32" s="74"/>
      <c r="AG32" s="74"/>
      <c r="AH32" s="74"/>
      <c r="AI32" s="74"/>
      <c r="AJ32" s="74"/>
      <c r="AK32" s="74"/>
      <c r="AL32" s="74"/>
      <c r="AM32" s="74"/>
      <c r="AN32" s="74"/>
      <c r="AO32" s="599"/>
      <c r="AP32" s="599"/>
      <c r="AQ32" s="599"/>
      <c r="AR32" s="599"/>
      <c r="AS32" s="212"/>
      <c r="AT32" s="299"/>
    </row>
    <row r="33" spans="1:58" ht="34.5" customHeight="1">
      <c r="A33" s="212"/>
      <c r="B33" s="664" t="str">
        <f>'Translate&amp;Prices&amp;Logo'!$B$641</f>
        <v>Frames without glass are delivered disassembled.</v>
      </c>
      <c r="C33" s="664"/>
      <c r="D33" s="664"/>
      <c r="E33" s="664"/>
      <c r="F33" s="664"/>
      <c r="G33" s="664"/>
      <c r="H33" s="664"/>
      <c r="I33" s="664"/>
      <c r="J33" s="664"/>
      <c r="K33" s="664"/>
      <c r="L33" s="664" t="str">
        <f>IF(OR((AI30&gt;AI43),(AR14&gt;AJ43)),'Translate&amp;Prices&amp;Logo'!B691,"")</f>
        <v/>
      </c>
      <c r="M33" s="664"/>
      <c r="N33" s="664"/>
      <c r="O33" s="664"/>
      <c r="P33" s="664"/>
      <c r="Q33" s="664"/>
      <c r="R33" s="664"/>
      <c r="S33" s="664"/>
      <c r="T33" s="408"/>
      <c r="U33" s="408"/>
      <c r="V33" s="408"/>
      <c r="W33" s="408"/>
      <c r="X33" s="408"/>
      <c r="Y33" s="408"/>
      <c r="Z33" s="408"/>
      <c r="AA33" s="408"/>
      <c r="AB33" s="408"/>
      <c r="AC33" s="408"/>
      <c r="AD33" s="74"/>
      <c r="AE33" s="74"/>
      <c r="AF33" s="301"/>
      <c r="AG33" s="74"/>
      <c r="AJ33" s="74"/>
      <c r="AK33" s="74"/>
      <c r="AL33" s="74"/>
      <c r="AM33" s="74"/>
      <c r="AN33" s="74"/>
      <c r="AO33" s="74"/>
      <c r="AP33" s="74"/>
      <c r="AQ33" s="74"/>
      <c r="AR33" s="74"/>
      <c r="AS33" s="212"/>
      <c r="AT33" s="299">
        <f>IF(kombinace_6!V1=2,((AR14/1000)*(AI30/1000))*'Translate&amp;Prices&amp;Logo'!C94,0)</f>
        <v>0</v>
      </c>
    </row>
    <row r="34" spans="1:58" s="301" customFormat="1" ht="36.75" customHeight="1">
      <c r="A34" s="302"/>
      <c r="B34" s="664"/>
      <c r="C34" s="664"/>
      <c r="D34" s="664"/>
      <c r="E34" s="664"/>
      <c r="F34" s="664"/>
      <c r="G34" s="664"/>
      <c r="H34" s="664"/>
      <c r="I34" s="664"/>
      <c r="J34" s="664"/>
      <c r="K34" s="664"/>
      <c r="L34" s="664"/>
      <c r="M34" s="664"/>
      <c r="N34" s="664"/>
      <c r="O34" s="664"/>
      <c r="P34" s="664"/>
      <c r="Q34" s="664"/>
      <c r="R34" s="664"/>
      <c r="S34" s="664"/>
      <c r="V34" s="687"/>
      <c r="W34" s="687"/>
      <c r="AS34" s="300"/>
      <c r="AT34" s="300"/>
      <c r="AW34" s="408"/>
      <c r="AX34" s="408"/>
      <c r="AY34" s="408"/>
      <c r="AZ34" s="408"/>
      <c r="BA34" s="408"/>
      <c r="BB34" s="408"/>
      <c r="BC34" s="408"/>
      <c r="BD34" s="408"/>
      <c r="BE34" s="408"/>
      <c r="BF34" s="408"/>
    </row>
    <row r="35" spans="1:58" ht="15" hidden="1" customHeight="1">
      <c r="B35" s="264"/>
      <c r="R35" s="293"/>
      <c r="S35" s="293"/>
      <c r="T35" s="302"/>
      <c r="AD35" s="264"/>
      <c r="AE35" s="264"/>
      <c r="AN35" s="301"/>
      <c r="AO35" s="301"/>
      <c r="AP35" s="301"/>
      <c r="AQ35" s="301"/>
      <c r="AS35" s="299"/>
      <c r="AT35" s="299">
        <f>IF(kombinace_6!$V$1=3,IFERROR(((VLOOKUP(H24,'Translate&amp;Prices&amp;Logo'!B91:C93,2,0))*(AR14/1000)),0),0)</f>
        <v>0</v>
      </c>
      <c r="AV35" s="431" t="s">
        <v>4597</v>
      </c>
      <c r="AW35" s="432"/>
      <c r="AX35" s="432"/>
      <c r="AY35" s="408"/>
    </row>
    <row r="36" spans="1:58" s="310" customFormat="1" ht="18.600000000000001" hidden="1" customHeight="1">
      <c r="A36" s="302"/>
      <c r="B36" s="310" t="str" cm="1">
        <f t="array" ref="B36:B91">IF(kombinace_6!FC2=TRUE,_profily_síťka,IF(kombinace_6!H1=TRUE,_kombinovane_profily,_vše_profily))</f>
        <v>BRW (elox.) - maximum profile length 2500 mm</v>
      </c>
      <c r="L36" s="310" t="str">
        <f t="array" ref="L36:M36">IF(kombinace_6!H1=TRUE,'závěsy dle výklopu'!$BQ$2:$BR$2,
IF(H8=kombinace_6!A34,'závěsy dle výklopu'!$BQ$2,IF(H8=kombinace_6!A35,'závěsy dle výklopu'!$BQ$2,IF(H8=kombinace_6!A55,'závěsy dle výklopu'!$BQ$2,IF(H8=kombinace_6!A56,'závěsy dle výklopu'!$BQ$2,IF(H8=kombinace_6!A57,'závěsy dle výklopu'!$BQ$2,IF(H8=kombinace_6!A58,'závěsy dle výklopu'!$BQ$2,'závěsy dle výklopu'!$BQ$2:$BR$2)))))))</f>
        <v>Hinges</v>
      </c>
      <c r="M36" s="310" t="str">
        <v>Hinges</v>
      </c>
      <c r="P36" s="310" t="str" cm="1">
        <f t="array" ref="P36:P38">IF(H13=kombinace_6!BQ11,kombinace_6!$DN$2,kombinace_6!$DN$2:$DN$4)</f>
        <v>Overlay</v>
      </c>
      <c r="T36" s="310">
        <f t="array" aca="1" ref="T36:T44" ca="1">IF(H13=kombinace_6!BQ11,
  kombinace_6!$FA$2:$FA$9,
  IF(AND(OR(H8=kombinace_6!A34,H8=kombinace_6!A35),H13='závěsy dle výklopu'!BQ4),
    INDIRECT(VLOOKUP(AD42&amp;"_Rocca",kombinace_6!$ER$1:$ES$108,2,0)),
    IF($AU$9=2,
      INDIRECT(VLOOKUP(AD42,kombinace_6!$ER$1:$ES$108,2,0)),
      IF($AU$9=3,
        INDIRECT(VLOOKUP($T$47,kombinace_6!$AA$1:$AB$100,2,0)),
      $Y$48)
    )
  )
)</f>
        <v>0</v>
      </c>
      <c r="AF36" s="310" t="e">
        <f>HLOOKUP($AD$44,'závěsy dle výklopu'!$CG$4:$EZ$10,2,0)</f>
        <v>#N/A</v>
      </c>
      <c r="AJ36" s="310">
        <f t="array" ref="AJ36:AJ40">IF(AM19&lt;2100,kombinace_6!BY8:BY12,kombinace_6!BY8:BY12)</f>
        <v>2</v>
      </c>
      <c r="AW36" s="408"/>
      <c r="AX36" s="408"/>
      <c r="AY36" s="408"/>
    </row>
    <row r="37" spans="1:58" s="310" customFormat="1" ht="15" hidden="1" customHeight="1">
      <c r="A37" s="293"/>
      <c r="B37" s="310" t="str">
        <v>BRW white matt RAL 9003 - maximum profile length 2500 mm</v>
      </c>
      <c r="P37" s="310" t="str">
        <v>Half-overlay</v>
      </c>
      <c r="T37" s="310">
        <f ca="1"/>
        <v>0</v>
      </c>
      <c r="W37" s="310" t="str" cm="1">
        <f t="array" ref="W37:W38">IF(Hlavní!$V$39=3,"",'Translate&amp;Prices&amp;Logo'!B556:B557)</f>
        <v>Yes</v>
      </c>
      <c r="AD37" s="311"/>
      <c r="AF37" s="310" t="e">
        <f>HLOOKUP($AD$44,'závěsy dle výklopu'!$CG$4:$EZ$10,3,0)</f>
        <v>#N/A</v>
      </c>
      <c r="AJ37" s="310">
        <v>3</v>
      </c>
      <c r="AS37" s="310" t="s">
        <v>5</v>
      </c>
      <c r="AT37" s="310">
        <f>IFERROR((VLOOKUP(H25,'Translate&amp;Prices&amp;Logo'!B99:C167,2,0))*((AI30/1000)*(AR14/1000)),0)</f>
        <v>0</v>
      </c>
      <c r="AW37" s="408"/>
      <c r="AX37" s="408"/>
      <c r="AY37" s="408"/>
    </row>
    <row r="38" spans="1:58" s="310" customFormat="1" ht="18.600000000000001" hidden="1" customHeight="1">
      <c r="A38" s="293"/>
      <c r="B38" s="310" t="str">
        <v>BRW white gloss RAL 9003 - maximum profile length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str">
        <v>Inset</v>
      </c>
      <c r="T38" s="310">
        <f ca="1"/>
        <v>0</v>
      </c>
      <c r="W38" s="310" t="str">
        <v>No</v>
      </c>
      <c r="AD38" s="311"/>
      <c r="AE38" s="310" t="e">
        <f t="shared" ref="AE38:AE40" si="0">AF38</f>
        <v>#N/A</v>
      </c>
      <c r="AF38" s="310" t="e">
        <f>HLOOKUP($AD$44,'závěsy dle výklopu'!$CG$4:$EZ$10,4,0)</f>
        <v>#N/A</v>
      </c>
      <c r="AJ38" s="310">
        <v>4</v>
      </c>
      <c r="AW38" s="408"/>
      <c r="AX38" s="408"/>
      <c r="AY38" s="408"/>
    </row>
    <row r="39" spans="1:58" s="310" customFormat="1" ht="15" hidden="1" customHeight="1">
      <c r="A39" s="293"/>
      <c r="B39" s="310" t="str">
        <v>BRW brushed - maximum profile length 2500 mm</v>
      </c>
      <c r="L39" s="310" t="str">
        <v>ITALIANA ferramenta</v>
      </c>
      <c r="T39" s="310">
        <f ca="1"/>
        <v>0</v>
      </c>
      <c r="AD39" s="311"/>
      <c r="AE39" s="310" t="e">
        <f t="shared" si="0"/>
        <v>#N/A</v>
      </c>
      <c r="AF39" s="310" t="e">
        <f>HLOOKUP($AD$44,'závěsy dle výklopu'!$CG$4:$EZ$10,5,0)</f>
        <v>#N/A</v>
      </c>
      <c r="AJ39" s="310">
        <v>5</v>
      </c>
      <c r="AS39" s="310" t="s">
        <v>2162</v>
      </c>
      <c r="AW39" s="408"/>
      <c r="AX39" s="408"/>
      <c r="AY39" s="408"/>
    </row>
    <row r="40" spans="1:58" s="310" customFormat="1" ht="18.600000000000001" hidden="1" customHeight="1">
      <c r="A40" s="293"/>
      <c r="B40" s="310" t="str">
        <v>BRW black matt - maximum profile length 2500 mm</v>
      </c>
      <c r="L40" s="310" t="str">
        <v>StrongLift</v>
      </c>
      <c r="T40" s="310">
        <f ca="1"/>
        <v>0</v>
      </c>
      <c r="AE40" s="310" t="e">
        <f t="shared" si="0"/>
        <v>#N/A</v>
      </c>
      <c r="AF40" s="310" t="e">
        <f>HLOOKUP($AD$44,'závěsy dle výklopu'!$CG$4:$EZ$10,6,0)</f>
        <v>#N/A</v>
      </c>
      <c r="AJ40" s="310">
        <v>6</v>
      </c>
      <c r="AW40" s="408"/>
      <c r="AX40" s="408"/>
      <c r="AY40" s="408"/>
    </row>
    <row r="41" spans="1:58" s="310" customFormat="1" ht="15" hidden="1" customHeight="1">
      <c r="A41" s="293"/>
      <c r="B41" s="310" t="str">
        <v>BRW black brushed - maximum profile length 2500 mm</v>
      </c>
      <c r="L41" s="310" t="str">
        <v xml:space="preserve">Kesseböhmer </v>
      </c>
      <c r="T41" s="310">
        <f ca="1"/>
        <v>0</v>
      </c>
      <c r="U41" s="310">
        <f>IF(Hlavní!$V$39=3,1,2)</f>
        <v>2</v>
      </c>
      <c r="AE41" s="310">
        <f>AF41</f>
        <v>0</v>
      </c>
      <c r="AH41" s="434"/>
      <c r="AI41" s="435" t="s">
        <v>4588</v>
      </c>
      <c r="AJ41" s="435" t="s">
        <v>4589</v>
      </c>
      <c r="AS41" s="310" t="s">
        <v>2163</v>
      </c>
      <c r="AW41" s="408"/>
      <c r="AX41" s="408"/>
      <c r="AY41" s="408"/>
    </row>
    <row r="42" spans="1:58" s="310" customFormat="1" ht="18.600000000000001" hidden="1" customHeight="1">
      <c r="A42" s="293"/>
      <c r="B42" s="310" t="str">
        <v>BRW Light Stainless Steel (ACIER GRATA) - maximum profile length 2500 mm</v>
      </c>
      <c r="L42" s="310" t="str">
        <v>Hettich</v>
      </c>
      <c r="T42" s="310">
        <f ca="1"/>
        <v>0</v>
      </c>
      <c r="AD42" s="310" t="e">
        <f>CONCATENATE("_",AV7,"_",H13,"_",AA29)</f>
        <v>#N/A</v>
      </c>
      <c r="AG42" s="433">
        <v>42</v>
      </c>
      <c r="AH42" s="434"/>
      <c r="AI42" s="436"/>
      <c r="AJ42" s="436"/>
      <c r="AW42" s="408"/>
      <c r="AX42" s="408"/>
      <c r="AY42" s="408"/>
    </row>
    <row r="43" spans="1:58" s="310" customFormat="1" ht="15" hidden="1" customHeight="1">
      <c r="A43" s="293"/>
      <c r="B43" s="310" t="str">
        <v>BRW anthracite RAL 7021 - maximum profile length 2500 mm</v>
      </c>
      <c r="T43" s="310">
        <f ca="1"/>
        <v>0</v>
      </c>
      <c r="AG43" s="433">
        <v>43</v>
      </c>
      <c r="AH43" s="434"/>
      <c r="AI43" s="437">
        <f>IF(H12='Translate&amp;Prices&amp;Logo'!B181,VLOOKUP(H8,'Translate&amp;Prices&amp;Logo'!B:V,21,0),AJ43)</f>
        <v>0</v>
      </c>
      <c r="AJ43" s="437">
        <f>VLOOKUP(H8,'Translate&amp;Prices&amp;Logo'!B:U,20,0)</f>
        <v>0</v>
      </c>
      <c r="AK43" s="310" t="s">
        <v>4587</v>
      </c>
      <c r="AS43" s="310" t="s">
        <v>2164</v>
      </c>
      <c r="AT43" s="310">
        <f>H28</f>
        <v>0</v>
      </c>
      <c r="AW43" s="408"/>
      <c r="AX43" s="408"/>
      <c r="AY43" s="408"/>
    </row>
    <row r="44" spans="1:58" s="310" customFormat="1" ht="18.600000000000001" hidden="1" customHeight="1">
      <c r="A44" s="293"/>
      <c r="B44" s="310" t="str">
        <v>BRW champagne - maximum profile length 2500 mm</v>
      </c>
      <c r="M44" s="310" t="s">
        <v>3532</v>
      </c>
      <c r="N44" s="310" t="s">
        <v>1981</v>
      </c>
      <c r="T44" s="310">
        <f ca="1"/>
        <v>0</v>
      </c>
      <c r="AD44" s="310" t="str">
        <f>CONCATENATE("_",AV7,"_",H15)</f>
        <v>_Široký_</v>
      </c>
      <c r="AG44" s="433">
        <v>44</v>
      </c>
      <c r="AH44" s="434"/>
      <c r="AI44" s="438"/>
      <c r="AJ44" s="438"/>
      <c r="AW44" s="408"/>
      <c r="AX44" s="408"/>
      <c r="AY44" s="408"/>
    </row>
    <row r="45" spans="1:58" s="310" customFormat="1" ht="14.85" hidden="1" customHeight="1">
      <c r="A45" s="293"/>
      <c r="B45" s="310" t="str">
        <v>BRW champagne light - maximum profile length 2500 mm</v>
      </c>
      <c r="M45" s="310" t="s">
        <v>3533</v>
      </c>
      <c r="N45" s="310" t="s">
        <v>1981</v>
      </c>
      <c r="AS45" s="286"/>
      <c r="AW45" s="408"/>
      <c r="AX45" s="408"/>
      <c r="AY45" s="408"/>
    </row>
    <row r="46" spans="1:58" s="310" customFormat="1" ht="14.85" hidden="1" customHeight="1">
      <c r="A46" s="293"/>
      <c r="B46" s="310" t="str">
        <v>BRW brown - maximum profile length 2500 mm</v>
      </c>
      <c r="M46" s="310" t="s">
        <v>5434</v>
      </c>
    </row>
    <row r="47" spans="1:58" s="310" customFormat="1" ht="14.85" hidden="1" customHeight="1">
      <c r="A47" s="293"/>
      <c r="B47" s="310" t="str">
        <v>BRW dark stainless steel - maximum profile length 2500 mm</v>
      </c>
      <c r="M47" s="310" t="s">
        <v>5435</v>
      </c>
      <c r="T47" s="310" t="str">
        <f>CONCATENATE(H13,"_",VLOOKUP(kombinace_6!H1,kombinace_6!$J$14:$K$15,2,0))</f>
        <v>_2</v>
      </c>
      <c r="AI47" s="264"/>
      <c r="AJ47" s="430"/>
      <c r="AN47" s="595"/>
      <c r="AO47" s="595"/>
      <c r="AP47" s="595"/>
      <c r="AQ47" s="595"/>
    </row>
    <row r="48" spans="1:58" s="310" customFormat="1" ht="14.85" hidden="1" customHeight="1">
      <c r="A48" s="293"/>
      <c r="B48" s="310" t="str">
        <v>BRW gold - maximum profile length 2500 mm</v>
      </c>
      <c r="T48" s="310" t="e">
        <f>VLOOKUP(AD42,kombinace_6!ER:ES,2,0)</f>
        <v>#N/A</v>
      </c>
      <c r="AS48"/>
      <c r="AT48"/>
    </row>
    <row r="49" spans="1:46" s="310" customFormat="1" ht="14.85" hidden="1" customHeight="1">
      <c r="A49" s="293"/>
      <c r="B49" s="310" t="str">
        <v>BRW arany csiszolt - maximum profile length 2500 mm</v>
      </c>
      <c r="AS49"/>
      <c r="AT49"/>
    </row>
    <row r="50" spans="1:46" s="310" customFormat="1" ht="14.85" hidden="1" customHeight="1">
      <c r="A50" s="293"/>
      <c r="B50" s="310" t="str">
        <v>Corleone (elox.) - maximum profile length 1500 mm</v>
      </c>
      <c r="AS50"/>
      <c r="AT50"/>
    </row>
    <row r="51" spans="1:46" s="310" customFormat="1" ht="14.85" hidden="1" customHeight="1">
      <c r="A51" s="293"/>
      <c r="B51" s="310" t="str">
        <v>Corleone black matt - maximum profile length 1500 mm</v>
      </c>
      <c r="AS51"/>
      <c r="AT51"/>
    </row>
    <row r="52" spans="1:46" s="310" customFormat="1" ht="14.85" hidden="1" customHeight="1">
      <c r="A52" s="293"/>
      <c r="B52" s="310" t="str">
        <v>ASTI black matt - maximum profile length 2150 mm</v>
      </c>
      <c r="AS52"/>
      <c r="AT52"/>
    </row>
    <row r="53" spans="1:46" s="310" customFormat="1" ht="14.85" hidden="1" customHeight="1">
      <c r="A53" s="293"/>
      <c r="B53" s="310" t="str">
        <v>ASTI anthracite RAL 7021 matt - maximum profile length 2500 mm</v>
      </c>
      <c r="AS53"/>
      <c r="AT53"/>
    </row>
    <row r="54" spans="1:46" s="310" customFormat="1" ht="14.85" hidden="1" customHeight="1">
      <c r="A54" s="293"/>
      <c r="B54" s="310" t="str">
        <v>Imola (elox.) - maximum profile length 2500 mm</v>
      </c>
      <c r="K54" s="310" t="str">
        <f t="array" ref="K54:K58">IF(OR($H$15=kombinace_6!AB40,$H$15=kombinace_6!AB7,$H$15=kombinace_6!AB15,$H$15=kombinace_6!AB20,$H$15=kombinace_6!AB21,$H$15=kombinace_6!AB22),'Translate&amp;Prices&amp;Logo'!$B$229:$B$231,IF($H$15=kombinace_6!AB41,'Translate&amp;Prices&amp;Logo'!$B$229:$B$231,'Translate&amp;Prices&amp;Logo'!$B$233:$B$237))</f>
        <v>Narrow ALU Frame</v>
      </c>
      <c r="Q54" s="310" t="str">
        <f>'Translate&amp;Prices&amp;Logo'!B227</f>
        <v>Top</v>
      </c>
      <c r="T54" s="310" t="str">
        <f t="array" ref="T54:T56">kombinace_6!$EN$3:$EN$5</f>
        <v>Not treated</v>
      </c>
      <c r="U54" s="310">
        <v>1</v>
      </c>
      <c r="X54" s="310" t="str">
        <f t="array" ref="X54:X56">kombinace_6!$X$3:$X$5</f>
        <v>Transparent</v>
      </c>
      <c r="AD54" s="310" t="str">
        <f t="array" aca="1" ref="AD54:AD97" ca="1">IF(kombinace_6!FC2=FALSE,
IF(OR(H8=kombinace_6!A17,H8=kombinace_6!A18,H8=kombinace_6!A25,H8=kombinace_6!A26,H8=kombinace_6!A27,H8=kombinace_6!A28),_corleone,INDIRECT(kombinace_6!S1)),
IF(kombinace_6!FC2=TRUE,INDIRECT(VLOOKUP(Ram_1!H8,'závěsy dle výklopu'!A81:B92,2,0)),0))</f>
        <v>Transparent</v>
      </c>
      <c r="AS54"/>
      <c r="AT54"/>
    </row>
    <row r="55" spans="1:46" s="310" customFormat="1" ht="14.85" hidden="1" customHeight="1">
      <c r="A55" s="293"/>
      <c r="B55" s="310" t="str">
        <v>Imola black matt - maximum profile length 2500 mm</v>
      </c>
      <c r="K55" s="310" t="str">
        <v>Wide ALU Frame</v>
      </c>
      <c r="Q55" s="310" t="str">
        <f>'Translate&amp;Prices&amp;Logo'!B228</f>
        <v>Bottom</v>
      </c>
      <c r="T55" s="310" t="str">
        <v>Harded (delivery is 4 weeks)</v>
      </c>
      <c r="U55" s="310">
        <v>2</v>
      </c>
      <c r="X55" s="310" t="str">
        <v>White</v>
      </c>
      <c r="AD55" s="310" t="str">
        <f ca="1"/>
        <v>Satinato</v>
      </c>
      <c r="AS55"/>
      <c r="AT55"/>
    </row>
    <row r="56" spans="1:46" s="310" customFormat="1" ht="14.85" hidden="1" customHeight="1">
      <c r="A56" s="293"/>
      <c r="B56" s="310" t="str">
        <v>Imola white matt RAL 9003 - maximum profile length 2500 mm</v>
      </c>
      <c r="K56" s="310" t="str">
        <v xml:space="preserve">MDF 16 mm </v>
      </c>
      <c r="Q56" s="310" t="str">
        <f>'Translate&amp;Prices&amp;Logo'!B229</f>
        <v>Right</v>
      </c>
      <c r="T56" s="310" t="str">
        <v>Foil</v>
      </c>
      <c r="U56" s="310">
        <v>3</v>
      </c>
      <c r="X56" s="310" t="str">
        <v>Black</v>
      </c>
      <c r="AD56" s="310" t="str">
        <f ca="1"/>
        <v>Satinato brown / Decormat Braz</v>
      </c>
    </row>
    <row r="57" spans="1:46" s="310" customFormat="1" ht="14.85" hidden="1" customHeight="1">
      <c r="A57" s="293"/>
      <c r="B57" s="310" t="str">
        <v>Imola gold - maximum profile length 2150 mm</v>
      </c>
      <c r="K57" s="310" t="str">
        <v xml:space="preserve">MDF 18 mm </v>
      </c>
      <c r="Q57" s="310" t="str">
        <f>'Translate&amp;Prices&amp;Logo'!B230</f>
        <v>Left</v>
      </c>
      <c r="AD57" s="310" t="str">
        <f ca="1"/>
        <v>Satinato graphite  / Decormat grafit</v>
      </c>
    </row>
    <row r="58" spans="1:46" s="310" customFormat="1" ht="14.85" hidden="1" customHeight="1">
      <c r="A58" s="293"/>
      <c r="B58" s="310" t="str">
        <v>Modena (elox.) - maximum profile length 2500 mm</v>
      </c>
      <c r="K58" s="310" t="str">
        <v>DTDL 18 mm</v>
      </c>
      <c r="AD58" s="310" t="str">
        <f ca="1"/>
        <v>MASTER SOFT</v>
      </c>
    </row>
    <row r="59" spans="1:46" s="310" customFormat="1" ht="14.85" hidden="1" customHeight="1">
      <c r="A59" s="293"/>
      <c r="B59" s="310" t="str">
        <v>Modena black matt - maximum profile length 2500 mm</v>
      </c>
      <c r="T59" s="310">
        <f>IFERROR(VLOOKUP($H$21,$T$54:$U$56,2,0),0)</f>
        <v>0</v>
      </c>
      <c r="AD59" s="310" t="str">
        <f ca="1"/>
        <v>MASTER FLEX</v>
      </c>
    </row>
    <row r="60" spans="1:46" s="310" customFormat="1" ht="14.85" hidden="1" customHeight="1">
      <c r="A60" s="293"/>
      <c r="B60" s="310" t="str">
        <v>black black brushed - maximum profile length 2500 mm</v>
      </c>
      <c r="K60" s="310" t="b">
        <f>K56=K61</f>
        <v>0</v>
      </c>
      <c r="AD60" s="310" t="str">
        <f ca="1"/>
        <v>Master (Carre)</v>
      </c>
    </row>
    <row r="61" spans="1:46" s="310" customFormat="1" ht="14.85" hidden="1" customHeight="1">
      <c r="A61" s="293"/>
      <c r="B61" s="310" t="str">
        <v>Modena dark stainless steel brushed - maximum profile length 2500 mm</v>
      </c>
      <c r="H61" s="310" t="str">
        <f>'Translate&amp;Prices&amp;Logo'!$B$186</f>
        <v>Bottom door</v>
      </c>
      <c r="K61" s="310" t="str">
        <f>'Translate&amp;Prices&amp;Logo'!$B$231</f>
        <v>2 Pieces (both sides)</v>
      </c>
      <c r="AD61" s="310" t="str">
        <f ca="1"/>
        <v>Master  Ligne horizontal</v>
      </c>
    </row>
    <row r="62" spans="1:46" s="310" customFormat="1" ht="14.85" hidden="1" customHeight="1">
      <c r="A62" s="293"/>
      <c r="B62" s="310" t="str">
        <v>Pisa (elox.) - maximum profile length 2500 mm</v>
      </c>
      <c r="AD62" s="310" t="str">
        <f ca="1"/>
        <v>Master  Ligne vertical</v>
      </c>
    </row>
    <row r="63" spans="1:46" s="310" customFormat="1" ht="14.85" hidden="1" customHeight="1">
      <c r="A63" s="293"/>
      <c r="B63" s="310" t="str">
        <v>Pisa white matt RAL 9003 - maximum profile length 2500 mm</v>
      </c>
      <c r="AD63" s="310" t="str">
        <f ca="1"/>
        <v>Master Point</v>
      </c>
    </row>
    <row r="64" spans="1:46" s="310" customFormat="1" ht="14.85" hidden="1" customHeight="1">
      <c r="A64" s="293"/>
      <c r="B64" s="310" t="str">
        <v>Pisa white gloss RAL 9003 - maximum profile length 2500 mm</v>
      </c>
      <c r="AD64" s="310" t="str">
        <f ca="1"/>
        <v>Masterscreen - maximum possible size 2160 x 1650 mm</v>
      </c>
    </row>
    <row r="65" spans="1:30" s="310" customFormat="1" ht="14.85" hidden="1" customHeight="1">
      <c r="A65" s="293"/>
      <c r="B65" s="310" t="str">
        <v>Pisa black matt - maximum profile length 2500 mm</v>
      </c>
      <c r="H65" s="167" t="str">
        <f>'rozpad závěsů bez prázdn. řádků'!$K$1</f>
        <v>cross screw</v>
      </c>
      <c r="I65" s="312">
        <v>6</v>
      </c>
      <c r="J65" s="166" t="e">
        <f>VLOOKUP($H$15,'rozpad závěsů bez prázdn. řádků'!$G$2:$X$66,I65,0)</f>
        <v>#N/A</v>
      </c>
      <c r="O65" s="310" t="str">
        <f t="array" ref="O65:O71">IF($H$15=kombinace_6!$AB$40,_strong_vzpera_horni,IF($H$15=kombinace_6!$AB$41,_stronglift_klopna,IF($H$12='závěsy dle výklopu'!$BQ$2,$J$65:$J$71,'Translate&amp;Prices&amp;Logo'!$B$185:$B$186)))</f>
        <v>Top door</v>
      </c>
      <c r="AD65" s="310" t="str">
        <f ca="1"/>
        <v>Venus VG10</v>
      </c>
    </row>
    <row r="66" spans="1:30" s="310" customFormat="1" ht="14.85" hidden="1" customHeight="1">
      <c r="A66" s="293"/>
      <c r="B66" s="310" t="str">
        <v>Pisa gold - maximum profile length 2150 mm</v>
      </c>
      <c r="H66" s="167" t="str">
        <f>'rozpad závěsů bez prázdn. řádků'!$M$1</f>
        <v>on screw (w/ cam adjust)</v>
      </c>
      <c r="I66" s="312">
        <v>8</v>
      </c>
      <c r="J66" s="166" t="e">
        <f>VLOOKUP($H$15,'rozpad závěsů bez prázdn. řádků'!$G$2:$X$66,I66,0)</f>
        <v>#N/A</v>
      </c>
      <c r="O66" s="310" t="str">
        <v>Bottom door</v>
      </c>
      <c r="AD66" s="310" t="str">
        <f ca="1"/>
        <v>Stopsol bronze  - maximum possible size 2250 x 1605 mm</v>
      </c>
    </row>
    <row r="67" spans="1:30" s="310" customFormat="1" ht="14.85" hidden="1" customHeight="1">
      <c r="A67" s="293"/>
      <c r="B67" s="310" t="str">
        <v>Rocca (elox.) - maximum profile length 2150 mm</v>
      </c>
      <c r="H67" s="167" t="str">
        <f>'rozpad závěsů bez prázdn. řádků'!$O$1</f>
        <v>euroscrew</v>
      </c>
      <c r="I67" s="312">
        <v>10</v>
      </c>
      <c r="J67" s="166" t="e">
        <f>VLOOKUP($H$15,'rozpad závěsů bez prázdn. řádků'!$G$2:$X$66,I67,0)</f>
        <v>#N/A</v>
      </c>
      <c r="O67" s="310" t="e">
        <v>#N/A</v>
      </c>
      <c r="AD67" s="310" t="str">
        <f ca="1"/>
        <v>Antisol bronze</v>
      </c>
    </row>
    <row r="68" spans="1:30" s="310" customFormat="1" ht="14.85" hidden="1" customHeight="1">
      <c r="A68" s="293"/>
      <c r="B68" s="310" t="str">
        <v>Rocca black matt - maximum profile length 2150 mm</v>
      </c>
      <c r="H68" s="167" t="str">
        <f>'rozpad závěsů bez prázdn. řádků'!$Q$1</f>
        <v>expando</v>
      </c>
      <c r="I68" s="312">
        <v>12</v>
      </c>
      <c r="J68" s="166" t="e">
        <f>VLOOKUP($H$15,'rozpad závěsů bez prázdn. řádků'!$G$2:$X$66,I68,0)</f>
        <v>#N/A</v>
      </c>
      <c r="O68" s="310" t="e">
        <v>#N/A</v>
      </c>
      <c r="AD68" s="310" t="str">
        <f ca="1"/>
        <v>Antisol graphite</v>
      </c>
    </row>
    <row r="69" spans="1:30" s="310" customFormat="1" ht="14.85" hidden="1" customHeight="1">
      <c r="A69" s="293"/>
      <c r="B69" s="310" t="str">
        <v>Verona (elox.) - maximum profile length 2500 mm</v>
      </c>
      <c r="H69" s="167" t="str">
        <f>'rozpad závěsů bez prázdn. řádků'!$S$1</f>
        <v>direct screw</v>
      </c>
      <c r="I69" s="312">
        <v>14</v>
      </c>
      <c r="J69" s="166" t="e">
        <f>VLOOKUP($H$15,'rozpad závěsů bez prázdn. řádků'!$G$2:$X$66,I69,0)</f>
        <v>#N/A</v>
      </c>
      <c r="O69" s="310" t="e">
        <v>#N/A</v>
      </c>
      <c r="AD69" s="310" t="str">
        <f ca="1"/>
        <v>Mirror</v>
      </c>
    </row>
    <row r="70" spans="1:30" s="310" customFormat="1" ht="14.85" hidden="1" customHeight="1">
      <c r="A70" s="293"/>
      <c r="B70" s="310" t="str">
        <v>Verona brushed aluminium - maximum profile length 2500 mm</v>
      </c>
      <c r="H70" s="167" t="str">
        <f>'rozpad závěsů bez prázdn. řádků'!$U$1</f>
        <v>direct euroscrew</v>
      </c>
      <c r="I70" s="312">
        <v>16</v>
      </c>
      <c r="J70" s="166" t="e">
        <f>VLOOKUP($H$15,'rozpad závěsů bez prázdn. řádků'!$G$2:$X$66,I70,0)</f>
        <v>#N/A</v>
      </c>
      <c r="O70" s="310" t="e">
        <v>#N/A</v>
      </c>
      <c r="AD70" s="310" t="str">
        <f ca="1"/>
        <v>Mirror brown</v>
      </c>
    </row>
    <row r="71" spans="1:30" s="310" customFormat="1" ht="14.85" hidden="1" customHeight="1">
      <c r="A71" s="293"/>
      <c r="B71" s="310" t="str">
        <v>Verona black matt - maximum profile length 2500 mm</v>
      </c>
      <c r="H71" s="167" t="str">
        <f>'rozpad závěsů bez prázdn. řádků'!$W$1</f>
        <v>direct expando</v>
      </c>
      <c r="I71" s="312">
        <v>18</v>
      </c>
      <c r="J71" s="166" t="e">
        <f>VLOOKUP($H$15,'rozpad závěsů bez prázdn. řádků'!$G$2:$X$66,I71,0)</f>
        <v>#N/A</v>
      </c>
      <c r="O71" s="310" t="e">
        <v>#N/A</v>
      </c>
      <c r="AD71" s="310" t="str">
        <f ca="1"/>
        <v>Mirror black</v>
      </c>
    </row>
    <row r="72" spans="1:30" s="310" customFormat="1" ht="14.85" hidden="1" customHeight="1">
      <c r="A72" s="293"/>
      <c r="B72" s="310" t="str">
        <v>Verona black gloss - maximum profile length 2500 mm</v>
      </c>
      <c r="AD72" s="310" t="str">
        <f ca="1"/>
        <v>VISIOSUN horizont</v>
      </c>
    </row>
    <row r="73" spans="1:30" s="310" customFormat="1" ht="14.85" hidden="1" customHeight="1">
      <c r="A73" s="293"/>
      <c r="B73" s="310" t="str">
        <v>Verona brown - maximum profile length 2500 mm</v>
      </c>
      <c r="AD73" s="310" t="str">
        <f ca="1"/>
        <v>VISIOSUN vertical</v>
      </c>
    </row>
    <row r="74" spans="1:30" s="310" customFormat="1" ht="14.85" hidden="1" customHeight="1">
      <c r="A74" s="293"/>
      <c r="B74" s="310" t="str">
        <v>Verona champagne - maximum profile length 2500 mm</v>
      </c>
      <c r="AD74" s="310" t="str">
        <f ca="1"/>
        <v>VISIOSUN sateen horizont</v>
      </c>
    </row>
    <row r="75" spans="1:30" s="310" customFormat="1" ht="14.85" hidden="1" customHeight="1">
      <c r="A75" s="293"/>
      <c r="B75" s="310" t="str">
        <v>Verona dark stainless steel brushed - maximum profile length 2500 mm</v>
      </c>
      <c r="AD75" s="310" t="str">
        <f ca="1"/>
        <v>VISIOSUN sateen vertical</v>
      </c>
    </row>
    <row r="76" spans="1:30" s="310" customFormat="1" ht="14.85" hidden="1" customHeight="1">
      <c r="A76" s="293"/>
      <c r="B76" s="310" t="str">
        <v>Verona light stainless steel (Acier grata) - maximum profile length 2500 mm</v>
      </c>
      <c r="AD76" s="310" t="str">
        <f ca="1"/>
        <v>Krizet  - maximum possible size 2130 x 1650 mm</v>
      </c>
    </row>
    <row r="77" spans="1:30" s="310" customFormat="1" ht="14.85" hidden="1" customHeight="1">
      <c r="A77" s="293"/>
      <c r="B77" s="310" t="str">
        <v>Verona gold - maximum profile length 2150 mm</v>
      </c>
      <c r="AD77" s="310" t="str">
        <f ca="1"/>
        <v>FLUTES vertical</v>
      </c>
    </row>
    <row r="78" spans="1:30" s="310" customFormat="1" ht="14.85" hidden="1" customHeight="1">
      <c r="A78" s="293"/>
      <c r="B78" s="310" t="str">
        <v>Verona gold brushed - maximum profile length 2150 mm</v>
      </c>
      <c r="AD78" s="310" t="str">
        <f ca="1"/>
        <v>FLUTES horizont</v>
      </c>
    </row>
    <row r="79" spans="1:30" s="310" customFormat="1" ht="14.85" hidden="1" customHeight="1">
      <c r="A79" s="293"/>
      <c r="B79" s="310" t="str">
        <v>Vivaro (elox.) - maximum profile length 2500 mm</v>
      </c>
      <c r="AD79" s="310" t="str">
        <f ca="1"/>
        <v>Lacomatt</v>
      </c>
    </row>
    <row r="80" spans="1:30" s="310" customFormat="1" ht="14.85" hidden="1" customHeight="1">
      <c r="A80" s="293"/>
      <c r="B80" s="310" t="str">
        <v>Vivaro black matt - maximum profile length 2500 mm</v>
      </c>
      <c r="AD80" s="310" t="str">
        <f ca="1"/>
        <v>Lacobel RAL 1013</v>
      </c>
    </row>
    <row r="81" spans="1:38" s="310" customFormat="1" ht="14.85" hidden="1" customHeight="1">
      <c r="A81" s="293"/>
      <c r="B81" s="310" t="str">
        <v>Vivaro dark stainless steel - maximum profile length 2500 mm</v>
      </c>
      <c r="AD81" s="310" t="str">
        <f ca="1"/>
        <v>Lacobel RAL 1015</v>
      </c>
    </row>
    <row r="82" spans="1:38" s="310" customFormat="1" ht="14.85" hidden="1" customHeight="1">
      <c r="A82" s="293"/>
      <c r="B82" s="310" t="str">
        <v>Vivaro white matt RAL 9003 - maximum profile length 2500 mm</v>
      </c>
      <c r="P82" s="310" t="str" cm="1">
        <f t="array" ref="P82:P83">IF(OR(H8=kombinace_6!F14,H8=kombinace_6!F15,H8=kombinace_6!F16,H8=kombinace_6!F17,H8=kombinace_6!F18,H8=kombinace_6!F19,H8=kombinace_6!A55,H8=kombinace_6!A56,H8=kombinace_6!A57,H8=kombinace_6!A58),Q56:Q57,IF(H15=kombinace_6!AB8,_ramena_HL,Q54:Q57))</f>
        <v>Right</v>
      </c>
      <c r="AD82" s="310" t="str">
        <f ca="1"/>
        <v>Lacobel RAL 7035</v>
      </c>
    </row>
    <row r="83" spans="1:38" ht="14.85" hidden="1" customHeight="1">
      <c r="B83" s="291" t="str">
        <v>Vivaro white gloss RAL 9003 - maximum profile length 2500 mm</v>
      </c>
      <c r="C83" s="293"/>
      <c r="D83" s="293"/>
      <c r="E83" s="293"/>
      <c r="F83" s="293"/>
      <c r="G83" s="293"/>
      <c r="H83" s="293"/>
      <c r="I83" s="293"/>
      <c r="J83" s="293"/>
      <c r="K83" s="293"/>
      <c r="L83" s="293"/>
      <c r="M83" s="293"/>
      <c r="N83" s="293"/>
      <c r="O83" s="291"/>
      <c r="P83" s="293" t="str">
        <v>Left</v>
      </c>
      <c r="Q83" s="293"/>
      <c r="R83" s="293"/>
      <c r="S83" s="293"/>
      <c r="T83" s="302"/>
      <c r="U83" s="302"/>
      <c r="V83" s="302"/>
      <c r="W83" s="302"/>
      <c r="X83" s="302"/>
      <c r="Y83" s="303"/>
      <c r="Z83" s="303"/>
      <c r="AA83" s="303"/>
      <c r="AB83" s="303"/>
      <c r="AC83" s="301"/>
      <c r="AD83" s="301" t="str">
        <f ca="1"/>
        <v>Lacobel RAL 9003</v>
      </c>
      <c r="AE83" s="301"/>
      <c r="AF83" s="301"/>
      <c r="AG83" s="301"/>
      <c r="AH83" s="301"/>
      <c r="AI83" s="303"/>
      <c r="AJ83" s="303"/>
      <c r="AK83" s="303"/>
      <c r="AL83" s="303"/>
    </row>
    <row r="84" spans="1:38" ht="14.85" hidden="1" customHeight="1">
      <c r="B84" s="291" t="str">
        <v>Vivaro gold - maximum profile length 2150 mm</v>
      </c>
      <c r="C84" s="293"/>
      <c r="D84" s="293"/>
      <c r="E84" s="293"/>
      <c r="F84" s="293"/>
      <c r="G84" s="293"/>
      <c r="H84" s="293"/>
      <c r="I84" s="293"/>
      <c r="J84" s="293"/>
      <c r="K84" s="293"/>
      <c r="L84" s="293"/>
      <c r="M84" s="293"/>
      <c r="N84" s="293"/>
      <c r="O84" s="291"/>
      <c r="P84" s="293"/>
      <c r="Q84" s="293"/>
      <c r="R84" s="293"/>
      <c r="S84" s="293"/>
      <c r="T84" s="302"/>
      <c r="U84" s="302"/>
      <c r="V84" s="302"/>
      <c r="W84" s="302"/>
      <c r="X84" s="302"/>
      <c r="Y84" s="303"/>
      <c r="Z84" s="303"/>
      <c r="AA84" s="303"/>
      <c r="AB84" s="303"/>
      <c r="AC84" s="301"/>
      <c r="AD84" s="301" t="str">
        <f ca="1"/>
        <v>Lacobel RAL 9005</v>
      </c>
      <c r="AE84" s="301"/>
      <c r="AF84" s="301"/>
      <c r="AG84" s="301"/>
      <c r="AH84" s="301"/>
      <c r="AI84" s="303"/>
      <c r="AJ84" s="303"/>
      <c r="AK84" s="303"/>
      <c r="AL84" s="303"/>
    </row>
    <row r="85" spans="1:38" ht="14.85" hidden="1" customHeight="1">
      <c r="B85" s="291" t="str">
        <v>Vivaro gold brushed - maximum profile length 2150 mm</v>
      </c>
      <c r="C85" s="293"/>
      <c r="D85" s="293"/>
      <c r="E85" s="293"/>
      <c r="F85" s="293"/>
      <c r="G85" s="293"/>
      <c r="H85" s="293"/>
      <c r="I85" s="293"/>
      <c r="J85" s="293"/>
      <c r="K85" s="293"/>
      <c r="L85" s="293"/>
      <c r="M85" s="293"/>
      <c r="N85" s="293"/>
      <c r="O85" s="293"/>
      <c r="P85" s="293"/>
      <c r="Q85" s="293"/>
      <c r="R85" s="293"/>
      <c r="S85" s="293"/>
      <c r="T85" s="302"/>
      <c r="U85" s="302"/>
      <c r="V85" s="302"/>
      <c r="W85" s="302"/>
      <c r="X85" s="302"/>
      <c r="Y85" s="303"/>
      <c r="Z85" s="303"/>
      <c r="AA85" s="303"/>
      <c r="AB85" s="303"/>
      <c r="AC85" s="301"/>
      <c r="AD85" s="301" t="str">
        <f ca="1"/>
        <v>Lacobel RAL 9006</v>
      </c>
      <c r="AE85" s="301"/>
      <c r="AF85" s="301"/>
      <c r="AG85" s="301"/>
      <c r="AH85" s="301"/>
      <c r="AI85" s="303"/>
      <c r="AJ85" s="303"/>
      <c r="AK85" s="303"/>
      <c r="AL85" s="303"/>
    </row>
    <row r="86" spans="1:38" ht="14.85" hidden="1" customHeight="1">
      <c r="B86" s="291" t="str">
        <v>Rocca elox (Left and Right) + Varna elox (Top and Bottom)</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str">
        <f ca="1"/>
        <v>Lacobel RAL 9007</v>
      </c>
      <c r="AE86" s="301"/>
      <c r="AF86" s="301"/>
      <c r="AG86" s="301"/>
      <c r="AH86" s="301"/>
      <c r="AI86" s="303"/>
      <c r="AJ86" s="303"/>
      <c r="AK86" s="303"/>
      <c r="AL86" s="303"/>
    </row>
    <row r="87" spans="1:38" ht="14.85" hidden="1" customHeight="1">
      <c r="B87" s="291" t="str">
        <v>Rocca black (Left and right) + Varna black (Top and bottom)</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str">
        <f ca="1"/>
        <v>Lacobel RAL 9010</v>
      </c>
      <c r="AE87" s="301"/>
      <c r="AF87" s="301"/>
      <c r="AG87" s="301"/>
      <c r="AH87" s="301"/>
      <c r="AI87" s="303"/>
      <c r="AJ87" s="303"/>
      <c r="AK87" s="303"/>
      <c r="AL87" s="303"/>
    </row>
    <row r="88" spans="1:38" ht="14.85" hidden="1" customHeight="1">
      <c r="B88" s="291" t="str">
        <v>ROMA black matt  - maximum profile length 2696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str">
        <f ca="1"/>
        <v xml:space="preserve">Matelac RAL 9003 </v>
      </c>
      <c r="AE88" s="301"/>
      <c r="AF88" s="301"/>
      <c r="AG88" s="301"/>
      <c r="AH88" s="301"/>
      <c r="AI88" s="303"/>
      <c r="AJ88" s="303"/>
      <c r="AK88" s="303"/>
      <c r="AL88" s="303"/>
    </row>
    <row r="89" spans="1:38" ht="14.85" hidden="1" customHeight="1">
      <c r="B89" s="291" t="str">
        <v>ROMA champagne matt  - maximum profile length 2696 mm</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str">
        <f ca="1"/>
        <v xml:space="preserve">Matelac RAL 9005 </v>
      </c>
      <c r="AE89" s="301"/>
      <c r="AF89" s="301"/>
      <c r="AG89" s="301"/>
      <c r="AH89" s="301"/>
      <c r="AI89" s="303"/>
      <c r="AJ89" s="303"/>
      <c r="AK89" s="303"/>
      <c r="AL89" s="303"/>
    </row>
    <row r="90" spans="1:38" ht="14.85" hidden="1" customHeight="1">
      <c r="B90" s="291" t="str">
        <v>ROMA GRIP black matt  - maximum profile length 2696 mm</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str">
        <f ca="1"/>
        <v>Matelac mirror bronze</v>
      </c>
      <c r="AE90" s="301"/>
      <c r="AF90" s="301"/>
      <c r="AG90" s="301"/>
      <c r="AH90" s="301"/>
      <c r="AI90" s="303"/>
      <c r="AJ90" s="303"/>
      <c r="AK90" s="303"/>
      <c r="AL90" s="303"/>
    </row>
    <row r="91" spans="1:38" ht="14.85" hidden="1" customHeight="1">
      <c r="B91" s="291" t="str">
        <v>ROMA GRIP champagne matt  - maximum profile length 2696 mm</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str">
        <f ca="1"/>
        <v>Matelac mirror graphite</v>
      </c>
      <c r="AE91" s="301"/>
      <c r="AF91" s="301"/>
      <c r="AG91" s="301"/>
      <c r="AH91" s="301"/>
      <c r="AI91" s="303"/>
      <c r="AJ91" s="303"/>
      <c r="AK91" s="303"/>
      <c r="AL91" s="303"/>
    </row>
    <row r="92" spans="1:38" ht="14.85" hidden="1" customHeight="1">
      <c r="B92" s="291"/>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str">
        <f ca="1"/>
        <v>Matelac mirror silver.</v>
      </c>
      <c r="AE92" s="301"/>
      <c r="AF92" s="301"/>
      <c r="AG92" s="301"/>
      <c r="AH92" s="301"/>
      <c r="AI92" s="303"/>
      <c r="AJ92" s="303"/>
      <c r="AK92" s="303"/>
      <c r="AL92" s="303"/>
    </row>
    <row r="93" spans="1:38" ht="14.85" hidden="1" customHeight="1">
      <c r="B93" s="291"/>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str">
        <f ca="1"/>
        <v>Optiwhite</v>
      </c>
      <c r="AE93" s="301"/>
      <c r="AF93" s="301"/>
      <c r="AG93" s="301"/>
      <c r="AH93" s="301"/>
      <c r="AI93" s="303"/>
      <c r="AJ93" s="303"/>
      <c r="AK93" s="303"/>
      <c r="AL93" s="303"/>
    </row>
    <row r="94" spans="1:38" ht="14.85" hidden="1" customHeight="1">
      <c r="B94" s="291"/>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str">
        <f ca="1"/>
        <v>Moru brown vertical</v>
      </c>
      <c r="AE94" s="301"/>
      <c r="AF94" s="301"/>
      <c r="AG94" s="301"/>
      <c r="AH94" s="301"/>
      <c r="AI94" s="303"/>
      <c r="AJ94" s="303"/>
      <c r="AK94" s="303"/>
      <c r="AL94" s="303"/>
    </row>
    <row r="95" spans="1:38" ht="14.85" hidden="1" customHeight="1">
      <c r="B95" s="291"/>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str">
        <f ca="1"/>
        <v xml:space="preserve">Moru graphite vertical </v>
      </c>
      <c r="AE95" s="301"/>
      <c r="AF95" s="301"/>
      <c r="AG95" s="301"/>
      <c r="AH95" s="301"/>
      <c r="AI95" s="303"/>
      <c r="AJ95" s="303"/>
      <c r="AK95" s="303"/>
      <c r="AL95" s="303"/>
    </row>
    <row r="96" spans="1:38" ht="14.85" hidden="1" customHeight="1">
      <c r="B96" s="291"/>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str">
        <f ca="1"/>
        <v>Moru brown horizontal</v>
      </c>
      <c r="AE96" s="301"/>
      <c r="AF96" s="301"/>
      <c r="AG96" s="301"/>
      <c r="AH96" s="301"/>
      <c r="AI96" s="303"/>
      <c r="AJ96" s="303"/>
      <c r="AK96" s="303"/>
      <c r="AL96" s="303"/>
    </row>
    <row r="97" spans="2:38" ht="14.85" hidden="1" customHeight="1">
      <c r="B97" s="291"/>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str">
        <f ca="1"/>
        <v>Moru graphite horizontal</v>
      </c>
      <c r="AE97" s="301"/>
      <c r="AF97" s="301"/>
      <c r="AG97" s="301"/>
      <c r="AH97" s="301"/>
      <c r="AI97" s="303"/>
      <c r="AJ97" s="303"/>
      <c r="AK97" s="303"/>
      <c r="AL97" s="303"/>
    </row>
    <row r="98" spans="2:38" ht="14.85" hidden="1" customHeight="1">
      <c r="B98" s="291"/>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4a5+bqSNk25WMAepyhUVTT9TSFLOpCfwacJhgxBpRiksmVIY4Z92e/A2XaC6UXqEfCpOYopzpMDC5yD8gIjfJg==" saltValue="nP9gaj6PQWHup3t7KdLSBA==" spinCount="100000" sheet="1" objects="1" scenarios="1"/>
  <protectedRanges>
    <protectedRange sqref="G7 I7:R7" name="Oblast1_1"/>
  </protectedRanges>
  <mergeCells count="99">
    <mergeCell ref="B26:F26"/>
    <mergeCell ref="H26:Q26"/>
    <mergeCell ref="B27:F27"/>
    <mergeCell ref="H27:Q27"/>
    <mergeCell ref="H19:Q19"/>
    <mergeCell ref="H25:Q25"/>
    <mergeCell ref="B32:Q32"/>
    <mergeCell ref="B28:F28"/>
    <mergeCell ref="H28:Q28"/>
    <mergeCell ref="B30:J31"/>
    <mergeCell ref="K30:K31"/>
    <mergeCell ref="L30:O31"/>
    <mergeCell ref="P30:Q31"/>
    <mergeCell ref="D29:O29"/>
    <mergeCell ref="P29:Q29"/>
    <mergeCell ref="AM14:AM21"/>
    <mergeCell ref="H18:Q18"/>
    <mergeCell ref="H21:Q21"/>
    <mergeCell ref="N16:Q16"/>
    <mergeCell ref="S13:Y17"/>
    <mergeCell ref="H13:Q13"/>
    <mergeCell ref="H14:Q14"/>
    <mergeCell ref="F20:I20"/>
    <mergeCell ref="J20:M20"/>
    <mergeCell ref="B19:F19"/>
    <mergeCell ref="B15:F15"/>
    <mergeCell ref="H15:Q15"/>
    <mergeCell ref="B16:E16"/>
    <mergeCell ref="AC24:AG24"/>
    <mergeCell ref="F16:I16"/>
    <mergeCell ref="J16:M16"/>
    <mergeCell ref="B17:F17"/>
    <mergeCell ref="B18:F18"/>
    <mergeCell ref="B21:F21"/>
    <mergeCell ref="B20:E20"/>
    <mergeCell ref="H23:Q23"/>
    <mergeCell ref="AD14:AD21"/>
    <mergeCell ref="AP2:AS3"/>
    <mergeCell ref="BD3:BH3"/>
    <mergeCell ref="BI3:BM3"/>
    <mergeCell ref="B5:D5"/>
    <mergeCell ref="F5:H5"/>
    <mergeCell ref="J5:L5"/>
    <mergeCell ref="N5:P5"/>
    <mergeCell ref="R5:T5"/>
    <mergeCell ref="AB4:AN5"/>
    <mergeCell ref="V5:X5"/>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47:AQ47"/>
    <mergeCell ref="R33:S33"/>
    <mergeCell ref="R34:S34"/>
    <mergeCell ref="V34:W34"/>
    <mergeCell ref="AN47:AO47"/>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s>
  <conditionalFormatting sqref="B5 F5 J5 N5 R5 V5">
    <cfRule type="cellIs" dxfId="309" priority="24" operator="equal">
      <formula>$A$2</formula>
    </cfRule>
  </conditionalFormatting>
  <conditionalFormatting sqref="B16:I16">
    <cfRule type="expression" dxfId="308" priority="45">
      <formula>$AU$19=0</formula>
    </cfRule>
  </conditionalFormatting>
  <conditionalFormatting sqref="B9:Q9">
    <cfRule type="expression" dxfId="307" priority="30">
      <formula>$B$9=0</formula>
    </cfRule>
  </conditionalFormatting>
  <conditionalFormatting sqref="B11:Q11">
    <cfRule type="expression" dxfId="306" priority="44">
      <formula>$AU$10=0</formula>
    </cfRule>
  </conditionalFormatting>
  <conditionalFormatting sqref="B14:Q14">
    <cfRule type="expression" dxfId="305" priority="29">
      <formula>$B$14=0</formula>
    </cfRule>
  </conditionalFormatting>
  <conditionalFormatting sqref="B17:Q17">
    <cfRule type="expression" dxfId="304" priority="28">
      <formula>$B$17=0</formula>
    </cfRule>
  </conditionalFormatting>
  <conditionalFormatting sqref="B18:Q18">
    <cfRule type="expression" dxfId="303" priority="14" stopIfTrue="1">
      <formula>$B$18=0</formula>
    </cfRule>
    <cfRule type="expression" dxfId="302" priority="17">
      <formula>$F$16=$H$61</formula>
    </cfRule>
  </conditionalFormatting>
  <conditionalFormatting sqref="B19:Q19">
    <cfRule type="expression" dxfId="301" priority="27">
      <formula>$B$19=0</formula>
    </cfRule>
  </conditionalFormatting>
  <conditionalFormatting sqref="B20:Q20">
    <cfRule type="expression" dxfId="300" priority="26">
      <formula>$B$19=0</formula>
    </cfRule>
    <cfRule type="expression" dxfId="299" priority="25">
      <formula>$B$20=0</formula>
    </cfRule>
  </conditionalFormatting>
  <conditionalFormatting sqref="B21:Q21">
    <cfRule type="expression" dxfId="298" priority="6">
      <formula>$B$21=" "</formula>
    </cfRule>
  </conditionalFormatting>
  <conditionalFormatting sqref="B24:Q24">
    <cfRule type="expression" dxfId="297" priority="19" stopIfTrue="1">
      <formula>$T$59&lt;3</formula>
    </cfRule>
  </conditionalFormatting>
  <conditionalFormatting sqref="H23">
    <cfRule type="expression" dxfId="296" priority="31">
      <formula>$H$25&gt;0</formula>
    </cfRule>
  </conditionalFormatting>
  <conditionalFormatting sqref="H10:L11">
    <cfRule type="expression" dxfId="295" priority="23">
      <formula>$AU$10=2</formula>
    </cfRule>
  </conditionalFormatting>
  <conditionalFormatting sqref="H10:Q10">
    <cfRule type="expression" dxfId="294" priority="22">
      <formula>$AU$10=0</formula>
    </cfRule>
  </conditionalFormatting>
  <conditionalFormatting sqref="H22:Q22 B22:G23">
    <cfRule type="expression" dxfId="293" priority="20">
      <formula>$AS$33=1</formula>
    </cfRule>
  </conditionalFormatting>
  <conditionalFormatting sqref="J16:M16">
    <cfRule type="expression" dxfId="292" priority="16" stopIfTrue="1">
      <formula>$K$60=TRUE</formula>
    </cfRule>
  </conditionalFormatting>
  <conditionalFormatting sqref="J16:N16">
    <cfRule type="expression" dxfId="291" priority="18" stopIfTrue="1">
      <formula>$AV$19=0</formula>
    </cfRule>
  </conditionalFormatting>
  <conditionalFormatting sqref="M10:Q11">
    <cfRule type="expression" dxfId="290" priority="21">
      <formula>$AU$10=1</formula>
    </cfRule>
  </conditionalFormatting>
  <conditionalFormatting sqref="N16:Q16">
    <cfRule type="expression" dxfId="289" priority="15" stopIfTrue="1">
      <formula>$K$60=TRUE</formula>
    </cfRule>
  </conditionalFormatting>
  <conditionalFormatting sqref="P29:Q29">
    <cfRule type="expression" dxfId="288" priority="1">
      <formula>$U$41=2</formula>
    </cfRule>
  </conditionalFormatting>
  <conditionalFormatting sqref="AA9:AA10 AA24:AA25">
    <cfRule type="expression" dxfId="287" priority="10" stopIfTrue="1">
      <formula>$AU$17=1</formula>
    </cfRule>
  </conditionalFormatting>
  <conditionalFormatting sqref="AA16:AA17">
    <cfRule type="expression" dxfId="286" priority="5" stopIfTrue="1">
      <formula>$AU$24="1_3"</formula>
    </cfRule>
  </conditionalFormatting>
  <conditionalFormatting sqref="AB6 AA6:AA7 AA27 AA28:AB28">
    <cfRule type="expression" dxfId="285" priority="4" stopIfTrue="1">
      <formula>$AV$17=1</formula>
    </cfRule>
  </conditionalFormatting>
  <conditionalFormatting sqref="AB29:AO29">
    <cfRule type="cellIs" dxfId="284" priority="2" operator="equal">
      <formula>0</formula>
    </cfRule>
  </conditionalFormatting>
  <conditionalFormatting sqref="AC6:AD6 AM6:AN6">
    <cfRule type="expression" dxfId="283" priority="12" stopIfTrue="1">
      <formula>$AU$17=3</formula>
    </cfRule>
  </conditionalFormatting>
  <conditionalFormatting sqref="AC25:AD25 AJ26:AJ27">
    <cfRule type="expression" dxfId="282" priority="39">
      <formula>$AU$25=4</formula>
    </cfRule>
  </conditionalFormatting>
  <conditionalFormatting sqref="AC28:AD28 AM28:AN28">
    <cfRule type="expression" dxfId="281" priority="11" stopIfTrue="1">
      <formula>$AU$17=4</formula>
    </cfRule>
  </conditionalFormatting>
  <conditionalFormatting sqref="AC8:AG8">
    <cfRule type="expression" dxfId="280" priority="43">
      <formula>$AU$25=3</formula>
    </cfRule>
  </conditionalFormatting>
  <conditionalFormatting sqref="AC24:AG24">
    <cfRule type="expression" dxfId="279" priority="40">
      <formula>$AU$25=4</formula>
    </cfRule>
  </conditionalFormatting>
  <conditionalFormatting sqref="AD10:AD12 AB19:AC19">
    <cfRule type="expression" dxfId="278" priority="33">
      <formula>$AU$25=1</formula>
    </cfRule>
  </conditionalFormatting>
  <conditionalFormatting sqref="AD14:AD21">
    <cfRule type="expression" dxfId="277" priority="32">
      <formula>$AU$25=1</formula>
    </cfRule>
  </conditionalFormatting>
  <conditionalFormatting sqref="AE10:AE16">
    <cfRule type="expression" dxfId="276" priority="41">
      <formula>$AU$25=1</formula>
    </cfRule>
  </conditionalFormatting>
  <conditionalFormatting sqref="AF9:AK9">
    <cfRule type="expression" dxfId="275" priority="36">
      <formula>$AU$25=3</formula>
    </cfRule>
  </conditionalFormatting>
  <conditionalFormatting sqref="AF25:AK25">
    <cfRule type="expression" dxfId="274" priority="38">
      <formula>$AU$25=4</formula>
    </cfRule>
  </conditionalFormatting>
  <conditionalFormatting sqref="AG6:AH6">
    <cfRule type="expression" dxfId="273" priority="8" stopIfTrue="1">
      <formula>$AU$24="3_3"</formula>
    </cfRule>
  </conditionalFormatting>
  <conditionalFormatting sqref="AG28:AH28">
    <cfRule type="expression" dxfId="272" priority="7" stopIfTrue="1">
      <formula>$AU$24="4_3"</formula>
    </cfRule>
  </conditionalFormatting>
  <conditionalFormatting sqref="AJ7:AJ8 AC9:AD9">
    <cfRule type="expression" dxfId="271" priority="37">
      <formula>$AU$25=3</formula>
    </cfRule>
  </conditionalFormatting>
  <conditionalFormatting sqref="AL19:AL25">
    <cfRule type="expression" dxfId="270" priority="42">
      <formula>$AU$25=2</formula>
    </cfRule>
  </conditionalFormatting>
  <conditionalFormatting sqref="AM14:AM21">
    <cfRule type="expression" dxfId="269" priority="34">
      <formula>$AU$25=2</formula>
    </cfRule>
  </conditionalFormatting>
  <conditionalFormatting sqref="AN19:AO19 AM23:AM25">
    <cfRule type="expression" dxfId="268" priority="35">
      <formula>$AU$25=2</formula>
    </cfRule>
  </conditionalFormatting>
  <conditionalFormatting sqref="AO6 AP6:AP7 AP27 AO28:AP28">
    <cfRule type="expression" dxfId="267" priority="3" stopIfTrue="1">
      <formula>$AV$17=2</formula>
    </cfRule>
  </conditionalFormatting>
  <conditionalFormatting sqref="AP9:AP10 AP24:AP25">
    <cfRule type="expression" dxfId="266" priority="9" stopIfTrue="1">
      <formula>$AU$17=2</formula>
    </cfRule>
  </conditionalFormatting>
  <conditionalFormatting sqref="AP16:AP17">
    <cfRule type="expression" dxfId="265" priority="13" stopIfTrue="1">
      <formula>$AU$24="2_3"</formula>
    </cfRule>
  </conditionalFormatting>
  <dataValidations count="20">
    <dataValidation type="whole" allowBlank="1" showInputMessage="1" showErrorMessage="1" sqref="H11:L11" xr:uid="{D58597C7-4E9C-4DD1-9D3E-7EE40010F878}">
      <formula1>1</formula1>
      <formula2>(AR14/100)-1</formula2>
    </dataValidation>
    <dataValidation type="whole" allowBlank="1" showInputMessage="1" showErrorMessage="1" sqref="M11:Q11" xr:uid="{CE86DD11-0510-4F11-A5EB-290164486CAC}">
      <formula1>1</formula1>
      <formula2>(AI30/100)-1</formula2>
    </dataValidation>
    <dataValidation type="whole" allowBlank="1" showInputMessage="1" showErrorMessage="1" errorTitle="Minimum 80 mm" sqref="F20:I20 N20:Q20" xr:uid="{3ECA95F3-C46A-4B3F-874D-D6A4F8A9C713}">
      <formula1>80</formula1>
      <formula2>1300</formula2>
    </dataValidation>
    <dataValidation type="whole" operator="greaterThanOrEqual" allowBlank="1" showInputMessage="1" showErrorMessage="1" sqref="H26:Q26" xr:uid="{076100CF-F2E8-4791-A71E-642E3B15424A}">
      <formula1>1</formula1>
    </dataValidation>
    <dataValidation type="list" allowBlank="1" showInputMessage="1" showErrorMessage="1" sqref="H12:Q12" xr:uid="{15ACE567-6FC4-4B62-B76B-F6108FBB30BA}">
      <formula1>$L$36:$M$36</formula1>
    </dataValidation>
    <dataValidation type="list" allowBlank="1" showInputMessage="1" showErrorMessage="1" sqref="H24:Q24" xr:uid="{A4B989E3-8600-4A94-A794-63300CE73D4C}">
      <formula1>$X$54:$X$56</formula1>
    </dataValidation>
    <dataValidation type="list" allowBlank="1" showInputMessage="1" showErrorMessage="1" sqref="H21:Q21" xr:uid="{D50EDC7D-3CD0-44C3-BBE3-4FD78F15F70E}">
      <formula1>$T$54:$T$56</formula1>
    </dataValidation>
    <dataValidation type="list" allowBlank="1" showInputMessage="1" showErrorMessage="1" sqref="H14:Q14" xr:uid="{5A38683B-D683-4AEE-B39A-6203FA621041}">
      <formula1>$P$36:$P$38</formula1>
    </dataValidation>
    <dataValidation type="list" allowBlank="1" showInputMessage="1" showErrorMessage="1" sqref="H19:Q19" xr:uid="{24405B55-7B40-48BF-849F-732128B1A15D}">
      <formula1>IF(H13="Salice",$AJ$36,($AJ$36:$AJ$40))</formula1>
    </dataValidation>
    <dataValidation type="list" allowBlank="1" showInputMessage="1" showErrorMessage="1" sqref="H18:Q18" xr:uid="{1423D821-9050-45C7-8C30-87686753C3CD}">
      <formula1>$AF$36:$AF$41</formula1>
    </dataValidation>
    <dataValidation type="list" allowBlank="1" showInputMessage="1" showErrorMessage="1" sqref="N16:Q16" xr:uid="{AF487C10-E3E6-4FD6-B59E-BE44E2A53837}">
      <formula1>$K$54:$K$58</formula1>
    </dataValidation>
    <dataValidation type="list" allowBlank="1" showInputMessage="1" showErrorMessage="1" sqref="H13:Q13" xr:uid="{B1D828DA-722B-4A7D-B16C-CFC87F8C657F}">
      <formula1>IF(M38="Salice",$L$38,$L$38:$L$42)</formula1>
    </dataValidation>
    <dataValidation type="list" allowBlank="1" showInputMessage="1" showErrorMessage="1" sqref="H15:Q15" xr:uid="{5B9F55C7-B180-4FDA-8ED0-27F3CB5E14CE}">
      <formula1>$T$36:$T$44</formula1>
    </dataValidation>
    <dataValidation type="list" allowBlank="1" showInputMessage="1" showErrorMessage="1" sqref="F16:I16" xr:uid="{451A9230-8A7E-42E6-95F5-97DB205E96BE}">
      <formula1>$O$65:$O$71</formula1>
    </dataValidation>
    <dataValidation type="list" allowBlank="1" showInputMessage="1" showErrorMessage="1" sqref="H17:Q17" xr:uid="{69DD8C15-9EC4-4D5C-A095-A97047AD4BCA}">
      <formula1>$P$82:$P$90</formula1>
    </dataValidation>
    <dataValidation type="whole" operator="lessThan" showInputMessage="1" showErrorMessage="1" sqref="AI30:AK30" xr:uid="{E87D6835-4DC0-4DDA-86D2-EB1EDB5AC7DF}">
      <formula1>IF(AR14&lt;AI43+1,AJ43+1,AI43+1)</formula1>
    </dataValidation>
    <dataValidation type="whole" operator="lessThan" showErrorMessage="1" sqref="AR14:AR18" xr:uid="{6C3B2DF9-84C4-4BEA-A1ED-DA5BCE341D86}">
      <formula1>IF(AI30&lt;AI43+1,AJ43+1,AI43+1)</formula1>
    </dataValidation>
    <dataValidation type="list" allowBlank="1" showInputMessage="1" showErrorMessage="1" sqref="P29:Q29" xr:uid="{6D344F1A-0755-4817-BB4B-B7F39FE894AA}">
      <formula1>$W$37:$W$38</formula1>
    </dataValidation>
    <dataValidation type="list" allowBlank="1" showInputMessage="1" showErrorMessage="1" sqref="H25:Q25" xr:uid="{7B379EF9-AC90-40AD-A0E5-C551104D71AA}">
      <formula1>$AD$54:$AD$97</formula1>
    </dataValidation>
    <dataValidation type="list" allowBlank="1" showInputMessage="1" showErrorMessage="1" sqref="H8:Q8" xr:uid="{5F754AFA-1758-4B1F-9487-22670C63BE71}">
      <formula1>B36:B91</formula1>
    </dataValidation>
  </dataValidations>
  <hyperlinks>
    <hyperlink ref="AP2:AS3" location="Hlavní!A1" display="Hlavní!A1" xr:uid="{C90996B7-6320-4728-922E-66C353B8A9AB}"/>
    <hyperlink ref="F5:H5" location="Ram_2!A1" display="Ram_2!A1" xr:uid="{6E8D144A-12C5-4772-84AA-2455C53974BD}"/>
    <hyperlink ref="N5:P5" location="Ram_4!A1" display="Ram_4!A1" xr:uid="{014E4388-B952-4E74-816C-F06164DC746C}"/>
    <hyperlink ref="R5:T5" location="Ram_5!A1" display="Ram_5!A1" xr:uid="{E51A0924-FB11-44DB-B34D-4ED46828AC49}"/>
    <hyperlink ref="V5:X5" location="Ram_6!A1" display="Ram_6!A1" xr:uid="{3540A473-EF78-48C5-ABC9-EC9859704677}"/>
    <hyperlink ref="B5:D5" location="Ram_1!A1" display="Ram_1!A1" xr:uid="{1F56261A-6AA9-4A9E-A091-6BF921484F57}"/>
    <hyperlink ref="AO31:AR32" location="_souhrn!A1" display="_souhrn!A1" xr:uid="{2F7AAFC7-41F1-41AF-9CB9-BF47259F66CB}"/>
    <hyperlink ref="J5:L5" location="Ram_3!A1" display="Ram_3!A1" xr:uid="{0F077220-F85C-4BE6-B889-56FE6CD0E67E}"/>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57150</xdr:colOff>
                    <xdr:row>6</xdr:row>
                    <xdr:rowOff>171450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6CAA2FCE-F8B3-4B91-A0A9-C0884FEC826A}">
          <x14:formula1>
            <xm:f>'závěsy dle výklopu'!$BW$2:$BW$5</xm:f>
          </x14:formula1>
          <xm:sqref>H27:Q27</xm:sqref>
        </x14:dataValidation>
        <x14:dataValidation type="list" allowBlank="1" showInputMessage="1" showErrorMessage="1" xr:uid="{3C58EE0E-B96A-4028-BC75-F0445471CD6F}">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workbookViewId="0">
      <selection activeCell="K13" sqref="K13:P13"/>
    </sheetView>
  </sheetViews>
  <sheetFormatPr defaultColWidth="0" defaultRowHeight="15" zeroHeight="1"/>
  <cols>
    <col min="1" max="3" width="8.5703125" style="1" customWidth="1"/>
    <col min="4" max="4" width="6.5703125" style="1" customWidth="1"/>
    <col min="5" max="9" width="8.5703125" style="1" customWidth="1"/>
    <col min="10" max="10" width="3.140625" style="1" customWidth="1"/>
    <col min="11" max="12" width="9.85546875" style="1" customWidth="1"/>
    <col min="13" max="16" width="8.5703125" style="1" customWidth="1"/>
    <col min="17" max="17" width="6.5703125" style="1" customWidth="1"/>
    <col min="18" max="19" width="8.5703125" style="1" customWidth="1"/>
    <col min="20" max="20" width="10.5703125" style="1" customWidth="1"/>
    <col min="21" max="16384" width="8.5703125" style="1" hidden="1"/>
  </cols>
  <sheetData>
    <row r="1" spans="1:23">
      <c r="A1" s="174"/>
      <c r="B1" s="174"/>
      <c r="C1" s="174"/>
      <c r="D1" s="174"/>
      <c r="E1" s="174"/>
      <c r="F1" s="174"/>
      <c r="G1" s="174"/>
      <c r="H1" s="174"/>
      <c r="I1" s="174"/>
      <c r="J1" s="174"/>
      <c r="K1" s="174"/>
      <c r="L1" s="174"/>
      <c r="M1" s="174"/>
      <c r="N1" s="174"/>
      <c r="O1" s="174"/>
    </row>
    <row r="2" spans="1:23">
      <c r="A2" s="175"/>
      <c r="B2" s="175"/>
      <c r="C2" s="175"/>
      <c r="D2" s="175"/>
      <c r="E2" s="175"/>
      <c r="F2" s="175"/>
      <c r="G2" s="175"/>
      <c r="H2" s="175"/>
      <c r="I2" s="175"/>
      <c r="J2" s="175"/>
      <c r="K2" s="175"/>
      <c r="L2" s="175"/>
      <c r="M2" s="175"/>
      <c r="N2" s="175"/>
      <c r="O2" s="175"/>
      <c r="P2" s="120"/>
      <c r="Q2" s="517" t="str">
        <f>'Translate&amp;Prices&amp;Logo'!$B$540</f>
        <v>Main page</v>
      </c>
      <c r="R2" s="518"/>
      <c r="S2" s="518"/>
      <c r="T2" s="518"/>
    </row>
    <row r="3" spans="1:23">
      <c r="A3" s="175"/>
      <c r="B3" s="175"/>
      <c r="C3" s="175"/>
      <c r="D3" s="175"/>
      <c r="E3" s="175"/>
      <c r="F3" s="175"/>
      <c r="G3" s="175"/>
      <c r="H3" s="175"/>
      <c r="I3" s="175"/>
      <c r="J3" s="175"/>
      <c r="K3" s="175"/>
      <c r="L3" s="175"/>
      <c r="M3" s="175"/>
      <c r="N3" s="175"/>
      <c r="O3" s="175"/>
      <c r="P3" s="120"/>
      <c r="Q3" s="517"/>
      <c r="R3" s="518"/>
      <c r="S3" s="518"/>
      <c r="T3" s="518"/>
    </row>
    <row r="4" spans="1:23">
      <c r="A4" s="174"/>
      <c r="B4" s="174"/>
      <c r="C4" s="174"/>
      <c r="D4" s="174"/>
      <c r="E4" s="174"/>
      <c r="F4" s="174"/>
      <c r="G4" s="174"/>
      <c r="H4" s="174"/>
      <c r="I4" s="174"/>
    </row>
    <row r="5" spans="1:23">
      <c r="A5" s="174"/>
      <c r="B5" s="174"/>
      <c r="C5" s="174"/>
      <c r="D5" s="174"/>
      <c r="E5" s="174"/>
      <c r="F5" s="29" t="str">
        <f>'Translate&amp;Prices&amp;Logo'!$B$302</f>
        <v>Always use the current version of the form available on our web pages.</v>
      </c>
      <c r="G5" s="174"/>
      <c r="H5" s="174"/>
    </row>
    <row r="6" spans="1:23">
      <c r="I6" s="441"/>
      <c r="J6" s="441"/>
      <c r="K6" s="441"/>
      <c r="L6" s="441"/>
      <c r="M6" s="441"/>
      <c r="N6" s="441"/>
      <c r="O6" s="441"/>
      <c r="P6" s="441"/>
      <c r="Q6" s="441"/>
      <c r="R6" s="441"/>
      <c r="S6" s="441"/>
      <c r="T6" s="441"/>
      <c r="U6" s="441"/>
      <c r="V6" s="441"/>
      <c r="W6" s="441"/>
    </row>
    <row r="7" spans="1:23"/>
    <row r="8" spans="1:23" ht="11.1" customHeight="1"/>
    <row r="9" spans="1:23" ht="11.1" customHeight="1">
      <c r="E9" s="209"/>
    </row>
    <row r="10" spans="1:23" ht="12" customHeight="1">
      <c r="E10" s="209" t="str">
        <f>'Translate&amp;Prices&amp;Logo'!B306</f>
        <v>Please fill in your contact details and then click on the required box below.</v>
      </c>
    </row>
    <row r="11" spans="1:23">
      <c r="E11" s="519"/>
      <c r="F11" s="519"/>
      <c r="G11" s="519"/>
      <c r="H11" s="519"/>
      <c r="I11" s="519"/>
      <c r="J11" s="160"/>
      <c r="K11" s="520"/>
      <c r="L11" s="520"/>
      <c r="M11" s="520"/>
      <c r="N11" s="520"/>
      <c r="O11" s="520"/>
      <c r="P11" s="520"/>
    </row>
    <row r="12" spans="1:23"/>
    <row r="13" spans="1:23">
      <c r="E13" s="521" t="str">
        <f>'Translate&amp;Prices&amp;Logo'!$B$249</f>
        <v>Customer</v>
      </c>
      <c r="F13" s="521"/>
      <c r="G13" s="521"/>
      <c r="H13" s="521"/>
      <c r="I13" s="521"/>
      <c r="K13" s="522"/>
      <c r="L13" s="522"/>
      <c r="M13" s="522"/>
      <c r="N13" s="522"/>
      <c r="O13" s="522"/>
      <c r="P13" s="522"/>
    </row>
    <row r="14" spans="1:23">
      <c r="K14" s="158"/>
      <c r="L14" s="158"/>
      <c r="M14" s="158"/>
      <c r="N14" s="158"/>
      <c r="O14" s="158"/>
      <c r="P14" s="158"/>
    </row>
    <row r="15" spans="1:23">
      <c r="E15" s="521" t="str">
        <f>'Translate&amp;Prices&amp;Logo'!$B$253</f>
        <v>ID No:</v>
      </c>
      <c r="F15" s="521"/>
      <c r="G15" s="521"/>
      <c r="H15" s="521"/>
      <c r="I15" s="521"/>
      <c r="K15" s="522"/>
      <c r="L15" s="522"/>
      <c r="M15" s="522"/>
      <c r="N15" s="522"/>
      <c r="O15" s="522"/>
      <c r="P15" s="522"/>
    </row>
    <row r="16" spans="1:23">
      <c r="K16" s="158"/>
      <c r="L16" s="158"/>
      <c r="M16" s="158"/>
      <c r="N16" s="158"/>
      <c r="O16" s="158"/>
      <c r="P16" s="158"/>
    </row>
    <row r="17" spans="5:16">
      <c r="E17" s="521" t="str">
        <f>'Translate&amp;Prices&amp;Logo'!$B$250</f>
        <v>Phone:</v>
      </c>
      <c r="F17" s="521"/>
      <c r="G17" s="521"/>
      <c r="H17" s="521"/>
      <c r="I17" s="521"/>
      <c r="K17" s="523"/>
      <c r="L17" s="522"/>
      <c r="M17" s="522"/>
      <c r="N17" s="522"/>
      <c r="O17" s="522"/>
      <c r="P17" s="522"/>
    </row>
    <row r="18" spans="5:16">
      <c r="K18" s="158"/>
      <c r="L18" s="158"/>
      <c r="M18" s="158"/>
      <c r="N18" s="158"/>
      <c r="O18" s="158"/>
      <c r="P18" s="158"/>
    </row>
    <row r="19" spans="5:16">
      <c r="E19" s="521" t="str">
        <f>'Translate&amp;Prices&amp;Logo'!$B$251</f>
        <v>Contact E-mail:</v>
      </c>
      <c r="F19" s="521"/>
      <c r="G19" s="521"/>
      <c r="H19" s="521"/>
      <c r="I19" s="521"/>
      <c r="K19" s="522"/>
      <c r="L19" s="522"/>
      <c r="M19" s="522"/>
      <c r="N19" s="522"/>
      <c r="O19" s="522"/>
      <c r="P19" s="522"/>
    </row>
    <row r="20" spans="5:16">
      <c r="K20" s="158"/>
      <c r="L20" s="158"/>
      <c r="M20" s="158"/>
      <c r="N20" s="158"/>
      <c r="O20" s="158"/>
      <c r="P20" s="158"/>
    </row>
    <row r="21" spans="5:16">
      <c r="E21" s="521" t="str">
        <f>'Translate&amp;Prices&amp;Logo'!$B$254</f>
        <v>Discount on frames</v>
      </c>
      <c r="F21" s="521"/>
      <c r="G21" s="521"/>
      <c r="H21" s="521"/>
      <c r="I21" s="521"/>
      <c r="K21" s="526"/>
      <c r="L21" s="526"/>
      <c r="M21" s="526"/>
      <c r="N21" s="526"/>
      <c r="O21" s="526"/>
      <c r="P21" s="496" t="s">
        <v>5194</v>
      </c>
    </row>
    <row r="22" spans="5:16" ht="14.25" customHeight="1">
      <c r="K22" s="442">
        <v>0.2</v>
      </c>
      <c r="L22" s="442"/>
      <c r="M22" s="442"/>
      <c r="N22" s="442"/>
      <c r="O22" s="442"/>
      <c r="P22" s="442"/>
    </row>
    <row r="23" spans="5:16">
      <c r="E23" s="524" t="str">
        <f>IF(Hlavní!V39=3,"Dostawa","")</f>
        <v/>
      </c>
      <c r="F23" s="524"/>
      <c r="G23" s="524"/>
      <c r="H23" s="524"/>
      <c r="I23" s="524"/>
      <c r="K23" s="527" t="s">
        <v>5481</v>
      </c>
      <c r="L23" s="527"/>
      <c r="M23" s="527"/>
      <c r="N23" s="527"/>
      <c r="O23" s="527"/>
      <c r="P23" s="527"/>
    </row>
    <row r="24" spans="5:16" ht="14.25" customHeight="1">
      <c r="K24" s="193" t="s">
        <v>4637</v>
      </c>
      <c r="L24" s="525" t="s">
        <v>4638</v>
      </c>
      <c r="M24" s="525"/>
      <c r="N24" s="525"/>
      <c r="O24" s="525"/>
      <c r="P24" s="193" t="s">
        <v>4637</v>
      </c>
    </row>
    <row r="25" spans="5:16" ht="14.25" customHeight="1">
      <c r="E25" s="524" t="str">
        <f>IF(Hlavní!V39=3,"Adres","")</f>
        <v/>
      </c>
      <c r="F25" s="524"/>
      <c r="G25" s="524"/>
      <c r="H25" s="524"/>
      <c r="I25" s="524"/>
      <c r="K25" s="528"/>
      <c r="L25" s="528"/>
      <c r="M25" s="528"/>
      <c r="N25" s="528"/>
      <c r="O25" s="528"/>
      <c r="P25" s="528"/>
    </row>
    <row r="26" spans="5:16" ht="14.25" customHeight="1">
      <c r="K26" s="528"/>
      <c r="L26" s="528"/>
      <c r="M26" s="528"/>
      <c r="N26" s="528"/>
      <c r="O26" s="528"/>
      <c r="P26" s="528"/>
    </row>
    <row r="27" spans="5:16" ht="14.25" customHeight="1">
      <c r="K27" s="528"/>
      <c r="L27" s="528"/>
      <c r="M27" s="528"/>
      <c r="N27" s="528"/>
      <c r="O27" s="528"/>
      <c r="P27" s="528"/>
    </row>
    <row r="28" spans="5:16" ht="14.25" customHeight="1"/>
    <row r="29" spans="5:16">
      <c r="E29" s="1" t="str">
        <f>IF(K23="Dostawa na adres","W przypadku wyboru DOSTAWA NA ADRES do zamówienia zostanie automatycznie doliczona opłata transportowa.","")</f>
        <v/>
      </c>
      <c r="F29" s="440"/>
      <c r="G29" s="440"/>
      <c r="H29" s="440"/>
      <c r="I29" s="440"/>
      <c r="J29" s="440"/>
      <c r="K29" s="440"/>
      <c r="L29" s="440"/>
      <c r="M29" s="440"/>
      <c r="N29" s="440"/>
      <c r="O29" s="440"/>
      <c r="P29" s="440"/>
    </row>
    <row r="30" spans="5:16"/>
    <row r="31" spans="5:16">
      <c r="E31" s="471"/>
      <c r="F31" s="440"/>
      <c r="G31" s="440"/>
      <c r="H31" s="440"/>
      <c r="I31" s="440"/>
      <c r="J31" s="440"/>
      <c r="K31" s="440"/>
      <c r="L31" s="440"/>
      <c r="M31" s="440"/>
      <c r="N31" s="440"/>
      <c r="O31" s="440"/>
      <c r="P31" s="440"/>
    </row>
    <row r="32" spans="5:16">
      <c r="E32" s="440"/>
      <c r="F32" s="440"/>
      <c r="G32" s="440"/>
      <c r="H32" s="440"/>
      <c r="I32" s="440"/>
      <c r="J32" s="440"/>
      <c r="K32" s="440"/>
      <c r="L32" s="440"/>
      <c r="M32" s="440"/>
      <c r="N32" s="440"/>
      <c r="O32" s="440"/>
      <c r="P32" s="440"/>
    </row>
    <row r="33" spans="2:24"/>
    <row r="34" spans="2:24">
      <c r="B34" s="517" t="str">
        <f>"&lt;"&amp;" "&amp;'Translate&amp;Prices&amp;Logo'!$B$574</f>
        <v>&lt; Back</v>
      </c>
      <c r="C34" s="518"/>
      <c r="E34" s="440"/>
      <c r="F34" s="440"/>
      <c r="G34" s="440"/>
      <c r="H34" s="440"/>
      <c r="I34" s="440"/>
      <c r="J34" s="440"/>
      <c r="K34" s="529" t="s">
        <v>4695</v>
      </c>
      <c r="L34" s="530"/>
      <c r="M34" s="440"/>
      <c r="N34" s="440"/>
      <c r="O34" s="440"/>
      <c r="P34" s="440"/>
      <c r="R34" s="515" t="str">
        <f>'Translate&amp;Prices&amp;Logo'!$B$566&amp;" "&amp;"&gt;"</f>
        <v>Next &gt;</v>
      </c>
      <c r="S34" s="516"/>
      <c r="U34" s="39">
        <f>IF('Translate&amp;Prices&amp;Logo'!D1=3,1,0)</f>
        <v>0</v>
      </c>
      <c r="V34" s="39">
        <f>IF(K23="",0,1)</f>
        <v>1</v>
      </c>
      <c r="W34" s="39">
        <f>IF(AND(U34=1,V34=1),1,0)</f>
        <v>0</v>
      </c>
      <c r="X34" s="39">
        <f>IF(OR(W34=1,W35=1),1,0)</f>
        <v>1</v>
      </c>
    </row>
    <row r="35" spans="2:24">
      <c r="B35" s="517"/>
      <c r="C35" s="518"/>
      <c r="E35" s="440"/>
      <c r="F35" s="440"/>
      <c r="G35" s="440"/>
      <c r="H35" s="440"/>
      <c r="I35" s="440"/>
      <c r="J35" s="440"/>
      <c r="K35" s="529"/>
      <c r="L35" s="530"/>
      <c r="M35" s="440"/>
      <c r="N35" s="440"/>
      <c r="O35" s="440"/>
      <c r="P35" s="440"/>
      <c r="R35" s="515"/>
      <c r="S35" s="516"/>
      <c r="U35" s="39" t="s">
        <v>4614</v>
      </c>
      <c r="V35" s="39"/>
      <c r="W35" s="39">
        <f>IF('Translate&amp;Prices&amp;Logo'!D1&lt;&gt;3,1,0)</f>
        <v>1</v>
      </c>
      <c r="X35" s="39"/>
    </row>
    <row r="36" spans="2:24">
      <c r="U36" s="39"/>
      <c r="V36" s="39"/>
      <c r="W36" s="39"/>
      <c r="X36" s="39"/>
    </row>
    <row r="37" spans="2:24"/>
    <row r="38" spans="2:24"/>
  </sheetData>
  <sheetProtection algorithmName="SHA-512" hashValue="lt5KKD0XyZkBY4wuYfRvjRniD4OcJ4lPryzai/dMXmNTLlMrKPeYXNuIbzYOfjBCDLFrErYII4S7trPg0shdWA==" saltValue="oaEutpu0nyHj9RwvmHZhjw==" spinCount="100000" sheet="1" objects="1" scenarios="1"/>
  <mergeCells count="23">
    <mergeCell ref="B34:C35"/>
    <mergeCell ref="E21:I21"/>
    <mergeCell ref="E25:I25"/>
    <mergeCell ref="K23:P23"/>
    <mergeCell ref="K25:P25"/>
    <mergeCell ref="K26:P26"/>
    <mergeCell ref="K27:P27"/>
    <mergeCell ref="K34:L35"/>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K21:O21"/>
  </mergeCells>
  <conditionalFormatting sqref="E25:I25">
    <cfRule type="expression" dxfId="817" priority="1" stopIfTrue="1">
      <formula>K23="Dostawa na adres"</formula>
    </cfRule>
  </conditionalFormatting>
  <conditionalFormatting sqref="K24">
    <cfRule type="expression" dxfId="815" priority="4">
      <formula>$K$23="Dostawa na adres"</formula>
    </cfRule>
  </conditionalFormatting>
  <conditionalFormatting sqref="K34">
    <cfRule type="expression" dxfId="814" priority="16" stopIfTrue="1">
      <formula>K23="Dostawa na adres"</formula>
    </cfRule>
  </conditionalFormatting>
  <conditionalFormatting sqref="K25:P25">
    <cfRule type="expression" dxfId="813" priority="10">
      <formula>K23="Dostawa na adres"</formula>
    </cfRule>
  </conditionalFormatting>
  <conditionalFormatting sqref="K26:P26">
    <cfRule type="expression" dxfId="812" priority="9">
      <formula>K23="Dostawa na adres"</formula>
    </cfRule>
  </conditionalFormatting>
  <conditionalFormatting sqref="K27:P27">
    <cfRule type="expression" dxfId="811" priority="15">
      <formula>K23="Dostawa na adres"</formula>
    </cfRule>
  </conditionalFormatting>
  <conditionalFormatting sqref="L24">
    <cfRule type="expression" dxfId="810" priority="5">
      <formula>$K$23="Dostawa na adres"</formula>
    </cfRule>
  </conditionalFormatting>
  <conditionalFormatting sqref="P24">
    <cfRule type="expression" dxfId="809" priority="6">
      <formula>$K$23="Dostawa na adres"</formula>
    </cfRule>
  </conditionalFormatting>
  <conditionalFormatting sqref="R34:S35">
    <cfRule type="expression" dxfId="808"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D673"/>
  <sheetViews>
    <sheetView topLeftCell="DE1" workbookViewId="0">
      <selection activeCell="DN3" sqref="DN3:DN4"/>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25</v>
      </c>
      <c r="F1" t="s">
        <v>1864</v>
      </c>
      <c r="H1" t="b">
        <v>0</v>
      </c>
      <c r="M1" t="s">
        <v>1865</v>
      </c>
      <c r="P1" t="e">
        <f t="array" ref="P1">IF($S$1=Varianta_N1,_N1,IF($S$1=Varianta_A1,_A1,IF($S$1=Varianta_N2,_N2,IF($S$1=Varianta_A2,_A2,IF($S$1=Varianta_N3,_N3,IF($S$1=Varianta_A3,_A3,0))))))</f>
        <v>#NAME?</v>
      </c>
      <c r="Q1" s="326" t="s">
        <v>1930</v>
      </c>
      <c r="R1" s="11" t="str">
        <f>VLOOKUP(Ram_6!H8,kombinace_6!$A$3:$C$75,3,0)</f>
        <v>N</v>
      </c>
      <c r="S1" t="str">
        <f>CONCATENATE("_",R1,V1)</f>
        <v>_N1</v>
      </c>
      <c r="U1" s="326" t="s">
        <v>1929</v>
      </c>
      <c r="V1" s="11">
        <f>IFERROR(VLOOKUP(Ram_6!H21,$EN$3:$EO$5,2,0),1)</f>
        <v>1</v>
      </c>
      <c r="X1" t="s">
        <v>1866</v>
      </c>
      <c r="AA1" t="s">
        <v>1021</v>
      </c>
      <c r="AF1" t="s">
        <v>1867</v>
      </c>
      <c r="AX1" t="s">
        <v>693</v>
      </c>
      <c r="BC1" t="s">
        <v>9</v>
      </c>
      <c r="BK1" t="s">
        <v>987</v>
      </c>
      <c r="BM1" t="s">
        <v>1919</v>
      </c>
      <c r="ER1" t="s">
        <v>3124</v>
      </c>
      <c r="ES1" t="s">
        <v>3129</v>
      </c>
      <c r="EV1">
        <v>1</v>
      </c>
      <c r="EW1" t="s">
        <v>3146</v>
      </c>
      <c r="EY1" t="s">
        <v>3249</v>
      </c>
      <c r="FA1" t="s">
        <v>3250</v>
      </c>
      <c r="FC1" t="s">
        <v>3248</v>
      </c>
    </row>
    <row r="2" spans="1:160">
      <c r="A2" t="s">
        <v>1868</v>
      </c>
      <c r="B2" t="s">
        <v>1923</v>
      </c>
      <c r="C2" t="s">
        <v>1924</v>
      </c>
      <c r="D2" t="s">
        <v>1865</v>
      </c>
      <c r="F2" t="s">
        <v>1870</v>
      </c>
      <c r="G2" t="s">
        <v>1871</v>
      </c>
      <c r="H2" t="s">
        <v>1872</v>
      </c>
      <c r="I2" t="s">
        <v>1873</v>
      </c>
      <c r="M2" t="s">
        <v>1874</v>
      </c>
      <c r="P2" t="s">
        <v>1925</v>
      </c>
      <c r="X2" t="s">
        <v>1875</v>
      </c>
      <c r="Y2" t="s">
        <v>1876</v>
      </c>
      <c r="AA2" t="s">
        <v>1339</v>
      </c>
      <c r="AB2" t="s">
        <v>1877</v>
      </c>
      <c r="AC2" t="s">
        <v>1878</v>
      </c>
      <c r="AD2" t="s">
        <v>987</v>
      </c>
      <c r="AF2" s="76" t="s">
        <v>1879</v>
      </c>
      <c r="AG2" s="76" t="s">
        <v>986</v>
      </c>
      <c r="AH2">
        <v>1</v>
      </c>
      <c r="AI2">
        <v>2</v>
      </c>
      <c r="AJ2">
        <v>3</v>
      </c>
      <c r="AK2">
        <v>4</v>
      </c>
      <c r="AL2">
        <v>5</v>
      </c>
      <c r="AM2">
        <v>6</v>
      </c>
      <c r="AN2">
        <v>7</v>
      </c>
      <c r="AO2">
        <v>8</v>
      </c>
      <c r="AP2">
        <v>9</v>
      </c>
      <c r="AQ2">
        <v>10</v>
      </c>
      <c r="AR2">
        <v>11</v>
      </c>
      <c r="AS2">
        <v>12</v>
      </c>
      <c r="AT2">
        <v>13</v>
      </c>
      <c r="AU2">
        <v>14</v>
      </c>
      <c r="AV2">
        <v>15</v>
      </c>
      <c r="AX2" t="s">
        <v>1869</v>
      </c>
      <c r="AY2" t="s">
        <v>1339</v>
      </c>
      <c r="AZ2" t="s">
        <v>1880</v>
      </c>
      <c r="BA2" t="s">
        <v>1881</v>
      </c>
      <c r="BC2" s="327">
        <v>1</v>
      </c>
      <c r="BD2" s="327">
        <v>2</v>
      </c>
      <c r="BE2" s="327">
        <v>3</v>
      </c>
      <c r="BF2" s="327">
        <v>4</v>
      </c>
      <c r="BG2" s="327">
        <v>5</v>
      </c>
      <c r="BH2" s="327">
        <v>6</v>
      </c>
      <c r="BI2" s="327">
        <v>7</v>
      </c>
      <c r="BK2" s="327" t="s">
        <v>1882</v>
      </c>
      <c r="BM2" t="s">
        <v>1920</v>
      </c>
      <c r="BN2" t="s">
        <v>1921</v>
      </c>
      <c r="BO2" t="s">
        <v>1866</v>
      </c>
      <c r="BU2" t="str">
        <f>CONCATENATE("_",Ram_6!H12,"_",Ram_6!H13)</f>
        <v>__</v>
      </c>
      <c r="BV2" t="s">
        <v>1947</v>
      </c>
      <c r="BW2" t="s">
        <v>1942</v>
      </c>
      <c r="BY2" t="s">
        <v>220</v>
      </c>
      <c r="CA2" t="s">
        <v>1974</v>
      </c>
      <c r="CD2" t="s">
        <v>2049</v>
      </c>
      <c r="CF2" t="s">
        <v>2294</v>
      </c>
      <c r="DN2" t="str">
        <f>'Translate&amp;Prices&amp;Logo'!B553</f>
        <v>Overlay</v>
      </c>
      <c r="DP2" t="str">
        <f>'Translate&amp;Prices&amp;Logo'!$B$551</f>
        <v>Hinges</v>
      </c>
      <c r="DQ2">
        <v>2</v>
      </c>
      <c r="ED2" t="s">
        <v>2617</v>
      </c>
      <c r="EE2" t="s">
        <v>2711</v>
      </c>
      <c r="ER2" t="s">
        <v>3125</v>
      </c>
      <c r="ES2" t="s">
        <v>3130</v>
      </c>
      <c r="EV2">
        <v>2</v>
      </c>
      <c r="EW2" t="s">
        <v>3147</v>
      </c>
      <c r="EY2" s="366" t="str">
        <f>'Translate&amp;Prices&amp;Logo'!B164</f>
        <v>mesh aluminum gold - field 10x6x1 mm</v>
      </c>
      <c r="FA2" s="168">
        <f>'Translate&amp;Prices&amp;Logo'!B644</f>
        <v>0</v>
      </c>
      <c r="FC2" t="b">
        <v>0</v>
      </c>
    </row>
    <row r="3" spans="1:160">
      <c r="A3" t="str">
        <f>'Translate&amp;Prices&amp;Logo'!$B$6</f>
        <v>BRW (elox.) - maximum profile length 2500 mm</v>
      </c>
      <c r="B3">
        <v>1</v>
      </c>
      <c r="C3" t="s">
        <v>1122</v>
      </c>
      <c r="D3">
        <v>1</v>
      </c>
      <c r="F3" t="s">
        <v>1883</v>
      </c>
      <c r="G3" t="s">
        <v>672</v>
      </c>
      <c r="H3" t="s">
        <v>1884</v>
      </c>
      <c r="I3">
        <v>1</v>
      </c>
      <c r="J3">
        <v>2</v>
      </c>
      <c r="K3" t="s">
        <v>1122</v>
      </c>
      <c r="M3" t="s">
        <v>1885</v>
      </c>
      <c r="N3" t="s">
        <v>947</v>
      </c>
      <c r="X3" t="str">
        <f>'Translate&amp;Prices&amp;Logo'!$B$563</f>
        <v>Transparent</v>
      </c>
      <c r="Y3">
        <v>1</v>
      </c>
      <c r="AA3" t="s">
        <v>3051</v>
      </c>
      <c r="AB3" t="s">
        <v>1942</v>
      </c>
      <c r="AF3" t="s">
        <v>215</v>
      </c>
      <c r="AG3" t="s">
        <v>3407</v>
      </c>
      <c r="AY3" t="s">
        <v>1917</v>
      </c>
      <c r="BK3" t="s">
        <v>215</v>
      </c>
      <c r="BU3" t="e">
        <f>VLOOKUP(BU2,BV:BW,2,0)</f>
        <v>#N/A</v>
      </c>
      <c r="BV3" t="s">
        <v>1950</v>
      </c>
      <c r="BW3" t="s">
        <v>1946</v>
      </c>
      <c r="BY3" t="str">
        <f>'Translate&amp;Prices&amp;Logo'!$B$230</f>
        <v>Left</v>
      </c>
      <c r="BZ3">
        <v>1</v>
      </c>
      <c r="CA3">
        <v>32</v>
      </c>
      <c r="CD3" t="s">
        <v>3404</v>
      </c>
      <c r="CE3">
        <v>1</v>
      </c>
      <c r="CF3">
        <v>1</v>
      </c>
      <c r="DN3" t="str">
        <f>IF(OR(Ram_6!$H$13&amp;Ram_6!$AU$7=Ram_6!$M$44,
Ram_6!$H$13&amp;Ram_6!$AU$7=Ram_6!$M$45,
Ram_6!$H$13&amp;Ram_6!$AU$7=Ram_6!$M$46,
Ram_6!$H$13&amp;Ram_6!$AU$7=Ram_6!$M$47),
'Translate&amp;Prices&amp;Logo'!B657,'Translate&amp;Prices&amp;Logo'!B554)</f>
        <v>Half-overlay</v>
      </c>
      <c r="DP3" t="str">
        <f>'Translate&amp;Prices&amp;Logo'!$B$552</f>
        <v>Lifts</v>
      </c>
      <c r="DQ3">
        <v>3</v>
      </c>
      <c r="ED3" t="s">
        <v>2618</v>
      </c>
      <c r="EE3" t="s">
        <v>2712</v>
      </c>
      <c r="EJ3">
        <v>1</v>
      </c>
      <c r="EK3" t="s">
        <v>333</v>
      </c>
      <c r="EN3" t="str">
        <f>'Translate&amp;Prices&amp;Logo'!B638</f>
        <v>Not treated</v>
      </c>
      <c r="EO3">
        <v>1</v>
      </c>
      <c r="ER3" t="s">
        <v>3123</v>
      </c>
      <c r="ES3" t="s">
        <v>3131</v>
      </c>
      <c r="EV3">
        <v>3</v>
      </c>
      <c r="EW3" t="s">
        <v>3148</v>
      </c>
      <c r="EY3" s="366" t="str">
        <f>'Translate&amp;Prices&amp;Logo'!B165</f>
        <v>mesh steel black matt - field 8x4x1 mm</v>
      </c>
      <c r="FA3" s="168">
        <f>'Translate&amp;Prices&amp;Logo'!B645</f>
        <v>0</v>
      </c>
    </row>
    <row r="4" spans="1:160">
      <c r="A4" t="str">
        <f>'Translate&amp;Prices&amp;Logo'!$B$8</f>
        <v>BRW white matt RAL 9003 - maximum profile length 2500 mm</v>
      </c>
      <c r="B4">
        <v>1</v>
      </c>
      <c r="C4" t="s">
        <v>1122</v>
      </c>
      <c r="D4">
        <v>0</v>
      </c>
      <c r="G4" t="s">
        <v>1884</v>
      </c>
      <c r="H4" t="s">
        <v>672</v>
      </c>
      <c r="I4">
        <v>0</v>
      </c>
      <c r="J4">
        <v>2</v>
      </c>
      <c r="K4" t="s">
        <v>1122</v>
      </c>
      <c r="M4" t="s">
        <v>1888</v>
      </c>
      <c r="N4" t="s">
        <v>1488</v>
      </c>
      <c r="X4" t="str">
        <f>'Translate&amp;Prices&amp;Logo'!$B$564</f>
        <v>White</v>
      </c>
      <c r="Y4">
        <v>2</v>
      </c>
      <c r="AA4" t="s">
        <v>1887</v>
      </c>
      <c r="AB4" t="s">
        <v>3404</v>
      </c>
      <c r="AC4">
        <v>1</v>
      </c>
      <c r="AD4">
        <v>1</v>
      </c>
      <c r="AF4" t="s">
        <v>216</v>
      </c>
      <c r="AG4" t="s">
        <v>3407</v>
      </c>
      <c r="AY4" t="s">
        <v>1917</v>
      </c>
      <c r="AZ4" t="s">
        <v>1952</v>
      </c>
      <c r="BK4" t="s">
        <v>216</v>
      </c>
      <c r="BV4" t="s">
        <v>1951</v>
      </c>
      <c r="BW4" t="s">
        <v>1945</v>
      </c>
      <c r="BY4" t="str">
        <f>'Translate&amp;Prices&amp;Logo'!$B$229</f>
        <v>Right</v>
      </c>
      <c r="BZ4">
        <v>2</v>
      </c>
      <c r="CA4">
        <v>64</v>
      </c>
      <c r="CD4" t="s">
        <v>3122</v>
      </c>
      <c r="CE4">
        <v>1</v>
      </c>
      <c r="CF4">
        <v>0</v>
      </c>
      <c r="DN4" t="str">
        <f>IF(OR(Ram_6!$H$13&amp;Ram_6!$AU$7=Ram_6!$M$44,
Ram_6!$H$13&amp;Ram_6!$AU$7=Ram_6!$M$45,
Ram_6!$H$13&amp;Ram_6!$AU$7=Ram_6!$M$46,
Ram_6!$H$13&amp;Ram_6!$AU$7=Ram_6!$M$47),
'Translate&amp;Prices&amp;Logo'!B657,'Translate&amp;Prices&amp;Logo'!B555)</f>
        <v>Inset</v>
      </c>
      <c r="ED4" t="s">
        <v>2619</v>
      </c>
      <c r="EE4" t="s">
        <v>2713</v>
      </c>
      <c r="EJ4">
        <v>2</v>
      </c>
      <c r="EK4" t="s">
        <v>334</v>
      </c>
      <c r="EN4" t="str">
        <f>'Translate&amp;Prices&amp;Logo'!B639</f>
        <v>Harded (delivery is 4 weeks)</v>
      </c>
      <c r="EO4">
        <v>2</v>
      </c>
      <c r="ER4" t="s">
        <v>3482</v>
      </c>
      <c r="ES4" t="s">
        <v>3483</v>
      </c>
      <c r="EV4">
        <v>4</v>
      </c>
      <c r="EW4" t="s">
        <v>3149</v>
      </c>
      <c r="EY4" s="366" t="str">
        <f>'Translate&amp;Prices&amp;Logo'!B166</f>
        <v>mesh steel white - field 8x4x1 mm</v>
      </c>
      <c r="FA4" s="168">
        <f>'Translate&amp;Prices&amp;Logo'!B646</f>
        <v>0</v>
      </c>
      <c r="FD4" s="388"/>
    </row>
    <row r="5" spans="1:160">
      <c r="A5" t="str">
        <f>'Translate&amp;Prices&amp;Logo'!$B$9</f>
        <v>BRW white gloss RAL 9003 - maximum profile length 2500 mm</v>
      </c>
      <c r="B5">
        <v>1</v>
      </c>
      <c r="C5" t="s">
        <v>1122</v>
      </c>
      <c r="D5">
        <v>0</v>
      </c>
      <c r="F5" t="s">
        <v>1890</v>
      </c>
      <c r="G5" t="s">
        <v>671</v>
      </c>
      <c r="H5" t="s">
        <v>1884</v>
      </c>
      <c r="I5">
        <v>1</v>
      </c>
      <c r="J5">
        <v>2</v>
      </c>
      <c r="K5" t="s">
        <v>1122</v>
      </c>
      <c r="M5" t="s">
        <v>1891</v>
      </c>
      <c r="N5" t="s">
        <v>967</v>
      </c>
      <c r="X5" t="str">
        <f>'Translate&amp;Prices&amp;Logo'!$B$565</f>
        <v>Black</v>
      </c>
      <c r="Y5">
        <v>3</v>
      </c>
      <c r="AA5" t="s">
        <v>1887</v>
      </c>
      <c r="AB5" t="s">
        <v>3408</v>
      </c>
      <c r="AC5">
        <v>0</v>
      </c>
      <c r="AD5">
        <v>0</v>
      </c>
      <c r="AF5" t="s">
        <v>215</v>
      </c>
      <c r="AG5" t="s">
        <v>3409</v>
      </c>
      <c r="AY5" t="s">
        <v>1917</v>
      </c>
      <c r="AZ5" t="s">
        <v>1953</v>
      </c>
      <c r="BK5" t="s">
        <v>1894</v>
      </c>
      <c r="BV5" t="s">
        <v>3534</v>
      </c>
      <c r="BW5" t="s">
        <v>3535</v>
      </c>
      <c r="BY5" t="str">
        <f>'Translate&amp;Prices&amp;Logo'!$B$227</f>
        <v>Top</v>
      </c>
      <c r="BZ5">
        <v>3</v>
      </c>
      <c r="CA5">
        <v>76</v>
      </c>
      <c r="CD5" t="s">
        <v>1897</v>
      </c>
      <c r="CE5">
        <v>1</v>
      </c>
      <c r="CF5">
        <v>0</v>
      </c>
      <c r="ED5" t="s">
        <v>2620</v>
      </c>
      <c r="EE5" t="s">
        <v>2714</v>
      </c>
      <c r="EJ5">
        <v>3</v>
      </c>
      <c r="EK5" t="s">
        <v>108</v>
      </c>
      <c r="EN5" t="str">
        <f>'Translate&amp;Prices&amp;Logo'!B640</f>
        <v>Foil</v>
      </c>
      <c r="EO5">
        <v>3</v>
      </c>
      <c r="ER5" t="s">
        <v>3484</v>
      </c>
      <c r="ES5" t="s">
        <v>3485</v>
      </c>
      <c r="EV5">
        <v>5</v>
      </c>
      <c r="EW5" t="s">
        <v>3147</v>
      </c>
      <c r="EY5" s="366" t="str">
        <f>'Translate&amp;Prices&amp;Logo'!B167</f>
        <v>mesh anodized - field 10x6x1 mm</v>
      </c>
      <c r="FA5" s="168">
        <f>'Translate&amp;Prices&amp;Logo'!B647</f>
        <v>0</v>
      </c>
      <c r="FD5" s="388"/>
    </row>
    <row r="6" spans="1:160">
      <c r="A6" t="str">
        <f>'Translate&amp;Prices&amp;Logo'!$B$11</f>
        <v>BRW brushed - maximum profile length 2500 mm</v>
      </c>
      <c r="B6">
        <v>1</v>
      </c>
      <c r="C6" t="s">
        <v>1122</v>
      </c>
      <c r="D6">
        <v>0</v>
      </c>
      <c r="G6" t="s">
        <v>1884</v>
      </c>
      <c r="H6" t="s">
        <v>671</v>
      </c>
      <c r="I6">
        <v>0</v>
      </c>
      <c r="J6">
        <v>2</v>
      </c>
      <c r="K6" t="s">
        <v>1122</v>
      </c>
      <c r="N6" t="s">
        <v>1464</v>
      </c>
      <c r="AA6" t="s">
        <v>1887</v>
      </c>
      <c r="AB6" t="s">
        <v>3410</v>
      </c>
      <c r="AC6">
        <v>0</v>
      </c>
      <c r="AD6">
        <v>0</v>
      </c>
      <c r="AF6" t="s">
        <v>216</v>
      </c>
      <c r="AG6" t="s">
        <v>3409</v>
      </c>
      <c r="AY6" t="s">
        <v>1917</v>
      </c>
      <c r="AZ6" t="s">
        <v>1954</v>
      </c>
      <c r="BK6" t="s">
        <v>1895</v>
      </c>
      <c r="BQ6" s="168"/>
      <c r="BV6" t="s">
        <v>1949</v>
      </c>
      <c r="BW6" t="s">
        <v>1944</v>
      </c>
      <c r="BY6" t="str">
        <f>'Translate&amp;Prices&amp;Logo'!$B$228</f>
        <v>Bottom</v>
      </c>
      <c r="BZ6">
        <v>4</v>
      </c>
      <c r="CA6">
        <v>96</v>
      </c>
      <c r="CD6" t="s">
        <v>1900</v>
      </c>
      <c r="CE6">
        <v>1</v>
      </c>
      <c r="CF6">
        <v>1</v>
      </c>
      <c r="ED6" t="s">
        <v>2621</v>
      </c>
      <c r="EE6" t="s">
        <v>2715</v>
      </c>
      <c r="EJ6">
        <v>4</v>
      </c>
      <c r="EK6" t="s">
        <v>109</v>
      </c>
      <c r="ER6" t="s">
        <v>3486</v>
      </c>
      <c r="ES6" t="s">
        <v>3487</v>
      </c>
      <c r="FA6" s="168">
        <f>'Translate&amp;Prices&amp;Logo'!B648</f>
        <v>0</v>
      </c>
    </row>
    <row r="7" spans="1:160">
      <c r="A7" t="str">
        <f>'Translate&amp;Prices&amp;Logo'!$B$12</f>
        <v>BRW black matt - maximum profile length 2500 mm</v>
      </c>
      <c r="B7">
        <v>1</v>
      </c>
      <c r="C7" t="s">
        <v>1122</v>
      </c>
      <c r="D7">
        <v>1</v>
      </c>
      <c r="F7" t="s">
        <v>1896</v>
      </c>
      <c r="G7" t="s">
        <v>673</v>
      </c>
      <c r="H7" t="s">
        <v>1884</v>
      </c>
      <c r="I7">
        <v>1</v>
      </c>
      <c r="J7">
        <v>2</v>
      </c>
      <c r="K7" t="s">
        <v>1122</v>
      </c>
      <c r="AA7" t="s">
        <v>1887</v>
      </c>
      <c r="AB7" t="s">
        <v>3122</v>
      </c>
      <c r="AC7">
        <v>1</v>
      </c>
      <c r="AD7">
        <v>0</v>
      </c>
      <c r="AF7" t="s">
        <v>215</v>
      </c>
      <c r="AG7" t="s">
        <v>1897</v>
      </c>
      <c r="AY7" t="s">
        <v>1917</v>
      </c>
      <c r="AZ7" t="s">
        <v>1955</v>
      </c>
      <c r="BK7" t="s">
        <v>1898</v>
      </c>
      <c r="BQ7" s="57"/>
      <c r="BV7" t="s">
        <v>1967</v>
      </c>
      <c r="BW7" t="s">
        <v>1970</v>
      </c>
      <c r="CA7">
        <v>128</v>
      </c>
      <c r="CD7" t="s">
        <v>1902</v>
      </c>
      <c r="CE7">
        <v>1</v>
      </c>
      <c r="CF7">
        <v>0</v>
      </c>
      <c r="DN7" s="11" t="s">
        <v>98</v>
      </c>
      <c r="DO7" s="11" t="s">
        <v>98</v>
      </c>
      <c r="ED7" t="s">
        <v>2622</v>
      </c>
      <c r="EE7" t="s">
        <v>2716</v>
      </c>
      <c r="EJ7">
        <v>5</v>
      </c>
      <c r="EK7" t="s">
        <v>3046</v>
      </c>
      <c r="ER7" t="s">
        <v>3488</v>
      </c>
      <c r="ES7" t="s">
        <v>3489</v>
      </c>
      <c r="FA7" s="168">
        <f>'Translate&amp;Prices&amp;Logo'!B649</f>
        <v>0</v>
      </c>
      <c r="FD7" s="388"/>
    </row>
    <row r="8" spans="1:160">
      <c r="A8" t="str">
        <f>'Translate&amp;Prices&amp;Logo'!$B$14</f>
        <v>BRW black brushed - maximum profile length 2500 mm</v>
      </c>
      <c r="B8">
        <v>1</v>
      </c>
      <c r="C8" t="s">
        <v>1122</v>
      </c>
      <c r="D8">
        <v>0</v>
      </c>
      <c r="G8" t="s">
        <v>1884</v>
      </c>
      <c r="H8" t="s">
        <v>673</v>
      </c>
      <c r="I8">
        <v>0</v>
      </c>
      <c r="J8">
        <v>2</v>
      </c>
      <c r="K8" t="s">
        <v>1122</v>
      </c>
      <c r="AA8" t="s">
        <v>1887</v>
      </c>
      <c r="AB8" t="s">
        <v>3405</v>
      </c>
      <c r="AC8">
        <v>0</v>
      </c>
      <c r="AD8">
        <v>0</v>
      </c>
      <c r="AF8" t="s">
        <v>216</v>
      </c>
      <c r="AG8" t="s">
        <v>1897</v>
      </c>
      <c r="AY8" t="s">
        <v>1917</v>
      </c>
      <c r="AZ8" t="s">
        <v>1956</v>
      </c>
      <c r="BV8" t="s">
        <v>1968</v>
      </c>
      <c r="BW8" t="s">
        <v>1971</v>
      </c>
      <c r="BY8">
        <v>2</v>
      </c>
      <c r="CA8">
        <v>160</v>
      </c>
      <c r="CD8" t="s">
        <v>2058</v>
      </c>
      <c r="CE8">
        <v>1</v>
      </c>
      <c r="CF8">
        <v>0</v>
      </c>
      <c r="DN8" s="11" t="s">
        <v>99</v>
      </c>
      <c r="DO8" s="11" t="s">
        <v>99</v>
      </c>
      <c r="ED8" t="s">
        <v>2623</v>
      </c>
      <c r="EE8" t="s">
        <v>2717</v>
      </c>
      <c r="ER8" t="s">
        <v>3490</v>
      </c>
      <c r="ES8" t="s">
        <v>3491</v>
      </c>
      <c r="FA8" s="168">
        <f>'Translate&amp;Prices&amp;Logo'!B650</f>
        <v>0</v>
      </c>
    </row>
    <row r="9" spans="1:160">
      <c r="A9" t="str">
        <f>'Translate&amp;Prices&amp;Logo'!$B$15</f>
        <v>BRW Light Stainless Steel (ACIER GRATA) - maximum profile length 2500 mm</v>
      </c>
      <c r="B9">
        <v>1</v>
      </c>
      <c r="C9" t="s">
        <v>1122</v>
      </c>
      <c r="D9">
        <v>0</v>
      </c>
      <c r="M9" t="s">
        <v>3411</v>
      </c>
      <c r="AA9" t="s">
        <v>1887</v>
      </c>
      <c r="AB9" t="s">
        <v>3406</v>
      </c>
      <c r="AC9">
        <v>0</v>
      </c>
      <c r="AD9">
        <v>0</v>
      </c>
      <c r="AF9" t="s">
        <v>215</v>
      </c>
      <c r="AG9" t="s">
        <v>1900</v>
      </c>
      <c r="AY9" t="s">
        <v>1887</v>
      </c>
      <c r="BV9" t="s">
        <v>3480</v>
      </c>
      <c r="BW9" t="s">
        <v>3481</v>
      </c>
      <c r="BY9">
        <v>3</v>
      </c>
      <c r="CA9">
        <v>192</v>
      </c>
      <c r="CD9" t="s">
        <v>1907</v>
      </c>
      <c r="CE9">
        <v>1</v>
      </c>
      <c r="CF9">
        <v>0</v>
      </c>
      <c r="DN9" s="11" t="s">
        <v>100</v>
      </c>
      <c r="DO9" s="11" t="s">
        <v>100</v>
      </c>
      <c r="ED9" t="s">
        <v>2624</v>
      </c>
      <c r="EE9" t="s">
        <v>2718</v>
      </c>
      <c r="ER9" t="s">
        <v>3492</v>
      </c>
      <c r="ES9" t="s">
        <v>3493</v>
      </c>
      <c r="FA9">
        <f>'Translate&amp;Prices&amp;Logo'!B651</f>
        <v>0</v>
      </c>
    </row>
    <row r="10" spans="1:160">
      <c r="A10" t="str">
        <f>'Translate&amp;Prices&amp;Logo'!$B$7</f>
        <v>BRW anthracite RAL 7021 - maximum profile length 2500 mm</v>
      </c>
      <c r="B10">
        <v>1</v>
      </c>
      <c r="C10" t="s">
        <v>1122</v>
      </c>
      <c r="D10">
        <v>0</v>
      </c>
      <c r="M10" t="str">
        <f>'Translate&amp;Prices&amp;Logo'!B558</f>
        <v>Horizontal (delivery is 4 weeks)</v>
      </c>
      <c r="N10">
        <f>IF(Ram_6!$H$9=kombinace_6!M10,1,0)</f>
        <v>0</v>
      </c>
      <c r="AA10" t="s">
        <v>1887</v>
      </c>
      <c r="AB10" t="s">
        <v>3235</v>
      </c>
      <c r="AC10">
        <v>0</v>
      </c>
      <c r="AD10">
        <v>0</v>
      </c>
      <c r="AF10" t="s">
        <v>216</v>
      </c>
      <c r="AG10" t="s">
        <v>1900</v>
      </c>
      <c r="AY10" t="s">
        <v>1887</v>
      </c>
      <c r="AZ10" t="s">
        <v>1957</v>
      </c>
      <c r="BQ10" t="s">
        <v>3238</v>
      </c>
      <c r="BY10">
        <v>4</v>
      </c>
      <c r="CA10">
        <v>224</v>
      </c>
      <c r="CD10" t="s">
        <v>1908</v>
      </c>
      <c r="CE10">
        <v>1</v>
      </c>
      <c r="CF10">
        <v>0</v>
      </c>
      <c r="DN10" t="s">
        <v>98</v>
      </c>
      <c r="DO10" s="11" t="s">
        <v>98</v>
      </c>
      <c r="ED10" t="s">
        <v>2625</v>
      </c>
      <c r="EE10" t="s">
        <v>2719</v>
      </c>
      <c r="ER10" t="s">
        <v>3126</v>
      </c>
      <c r="ES10" t="s">
        <v>3132</v>
      </c>
      <c r="FD10" s="388"/>
    </row>
    <row r="11" spans="1:160">
      <c r="A11" t="str">
        <f>'Translate&amp;Prices&amp;Logo'!$B$69</f>
        <v>BRW champagne - maximum profile length 2500 mm</v>
      </c>
      <c r="B11">
        <v>1</v>
      </c>
      <c r="C11" t="s">
        <v>1122</v>
      </c>
      <c r="D11">
        <v>0</v>
      </c>
      <c r="M11" t="str">
        <f>'Translate&amp;Prices&amp;Logo'!B559</f>
        <v>Vertical (delivery is 4 weeks)</v>
      </c>
      <c r="N11">
        <f>IF(Ram_6!$H$9=kombinace_6!M11,2,0)</f>
        <v>0</v>
      </c>
      <c r="AC11">
        <v>0</v>
      </c>
      <c r="AD11">
        <v>0</v>
      </c>
      <c r="AF11" t="s">
        <v>215</v>
      </c>
      <c r="AG11" t="s">
        <v>1902</v>
      </c>
      <c r="AY11" t="s">
        <v>1887</v>
      </c>
      <c r="AZ11" t="s">
        <v>1958</v>
      </c>
      <c r="BQ11" s="368" t="s">
        <v>3237</v>
      </c>
      <c r="BY11">
        <v>5</v>
      </c>
      <c r="CA11">
        <v>240</v>
      </c>
      <c r="CD11" t="str">
        <f>CONCATENATE('Translate&amp;Prices&amp;Logo'!B664,"_K12")</f>
        <v>bottom_K12</v>
      </c>
      <c r="CE11">
        <v>1</v>
      </c>
      <c r="CF11">
        <v>0</v>
      </c>
      <c r="DN11" t="s">
        <v>99</v>
      </c>
      <c r="DO11" s="11" t="s">
        <v>99</v>
      </c>
      <c r="ED11" t="s">
        <v>2626</v>
      </c>
      <c r="EE11" t="s">
        <v>2720</v>
      </c>
      <c r="ER11" t="s">
        <v>3127</v>
      </c>
      <c r="ES11" t="s">
        <v>3133</v>
      </c>
      <c r="FD11" s="388"/>
    </row>
    <row r="12" spans="1:160">
      <c r="A12" t="str">
        <f>'Translate&amp;Prices&amp;Logo'!$B$70</f>
        <v>BRW champagne light - maximum profile length 2500 mm</v>
      </c>
      <c r="B12">
        <v>1</v>
      </c>
      <c r="C12" t="s">
        <v>1122</v>
      </c>
      <c r="D12">
        <v>0</v>
      </c>
      <c r="M12" t="str">
        <f>'Translate&amp;Prices&amp;Logo'!B560</f>
        <v>Horizontal and vertical (delivery is 4 weeks)</v>
      </c>
      <c r="N12">
        <f>IF(Ram_6!$H$9=kombinace_6!M12,3,0)</f>
        <v>0</v>
      </c>
      <c r="AC12">
        <v>0</v>
      </c>
      <c r="AD12">
        <v>0</v>
      </c>
      <c r="AF12" t="s">
        <v>216</v>
      </c>
      <c r="AG12" t="s">
        <v>1902</v>
      </c>
      <c r="AY12" t="s">
        <v>1887</v>
      </c>
      <c r="AZ12" t="s">
        <v>1959</v>
      </c>
      <c r="BQ12" s="369"/>
      <c r="BR12" t="s">
        <v>1887</v>
      </c>
      <c r="BY12">
        <v>6</v>
      </c>
      <c r="CA12">
        <v>256</v>
      </c>
      <c r="CD12" t="s">
        <v>1911</v>
      </c>
      <c r="CE12">
        <v>1</v>
      </c>
      <c r="CF12">
        <v>0</v>
      </c>
      <c r="DN12" t="s">
        <v>100</v>
      </c>
      <c r="DO12" s="11" t="s">
        <v>100</v>
      </c>
      <c r="ED12" t="s">
        <v>2627</v>
      </c>
      <c r="EE12" t="s">
        <v>2721</v>
      </c>
      <c r="ER12" t="s">
        <v>3128</v>
      </c>
      <c r="ES12" t="s">
        <v>3134</v>
      </c>
    </row>
    <row r="13" spans="1:160">
      <c r="A13" t="str">
        <f>'Translate&amp;Prices&amp;Logo'!$B$10</f>
        <v>BRW brown - maximum profile length 2500 mm</v>
      </c>
      <c r="B13">
        <v>1</v>
      </c>
      <c r="C13" t="s">
        <v>1122</v>
      </c>
      <c r="D13">
        <v>0</v>
      </c>
      <c r="AC13">
        <v>0</v>
      </c>
      <c r="AD13">
        <v>0</v>
      </c>
      <c r="AF13" t="s">
        <v>215</v>
      </c>
      <c r="AG13" t="s">
        <v>1905</v>
      </c>
      <c r="AY13" t="s">
        <v>1887</v>
      </c>
      <c r="AZ13" t="s">
        <v>1960</v>
      </c>
      <c r="BQ13" s="369"/>
      <c r="BR13" t="s">
        <v>1899</v>
      </c>
      <c r="BY13" t="str">
        <f>'Translate&amp;Prices&amp;Logo'!$B$558</f>
        <v>Horizontal (delivery is 4 weeks)</v>
      </c>
      <c r="BZ13">
        <v>1</v>
      </c>
      <c r="CA13">
        <v>288</v>
      </c>
      <c r="CD13" t="str">
        <f>CONCATENATE('Translate&amp;Prices&amp;Logo'!B664,"_kraby")</f>
        <v>bottom_kraby</v>
      </c>
      <c r="CE13">
        <v>1</v>
      </c>
      <c r="CF13">
        <v>0</v>
      </c>
      <c r="DN13" t="s">
        <v>452</v>
      </c>
      <c r="DO13" s="11" t="s">
        <v>98</v>
      </c>
      <c r="ED13" t="s">
        <v>3544</v>
      </c>
      <c r="EE13" t="s">
        <v>3543</v>
      </c>
      <c r="ER13" t="s">
        <v>3129</v>
      </c>
      <c r="ES13" t="s">
        <v>3129</v>
      </c>
    </row>
    <row r="14" spans="1:160">
      <c r="A14" t="str">
        <f>'Translate&amp;Prices&amp;Logo'!$B$16</f>
        <v>BRW dark stainless steel - maximum profile length 2500 mm</v>
      </c>
      <c r="B14">
        <v>1</v>
      </c>
      <c r="C14" t="s">
        <v>1122</v>
      </c>
      <c r="D14">
        <v>0</v>
      </c>
      <c r="F14">
        <f>'Translate&amp;Prices&amp;Logo'!$B$77</f>
        <v>0</v>
      </c>
      <c r="J14" t="b">
        <f>TRUE</f>
        <v>1</v>
      </c>
      <c r="K14">
        <v>1</v>
      </c>
      <c r="AA14" t="s">
        <v>3052</v>
      </c>
      <c r="AB14" t="s">
        <v>1946</v>
      </c>
      <c r="AF14" t="s">
        <v>216</v>
      </c>
      <c r="AG14" t="s">
        <v>1905</v>
      </c>
      <c r="AY14" t="s">
        <v>1887</v>
      </c>
      <c r="AZ14" t="s">
        <v>1961</v>
      </c>
      <c r="BQ14" s="369"/>
      <c r="BY14" t="str">
        <f>'Translate&amp;Prices&amp;Logo'!$B$559</f>
        <v>Vertical (delivery is 4 weeks)</v>
      </c>
      <c r="BZ14">
        <v>2</v>
      </c>
      <c r="CA14">
        <v>320</v>
      </c>
      <c r="CD14" t="s">
        <v>1913</v>
      </c>
      <c r="CE14">
        <v>1</v>
      </c>
      <c r="CF14">
        <v>0</v>
      </c>
      <c r="DN14" t="s">
        <v>453</v>
      </c>
      <c r="DO14" s="11" t="s">
        <v>99</v>
      </c>
      <c r="ED14" t="s">
        <v>2628</v>
      </c>
      <c r="EE14" t="s">
        <v>2722</v>
      </c>
      <c r="ER14" t="s">
        <v>3130</v>
      </c>
      <c r="ES14" t="s">
        <v>3130</v>
      </c>
    </row>
    <row r="15" spans="1:160">
      <c r="A15" t="str">
        <f>'Translate&amp;Prices&amp;Logo'!$B$13</f>
        <v>BRW gold - maximum profile length 2500 mm</v>
      </c>
      <c r="B15">
        <v>1</v>
      </c>
      <c r="C15" t="s">
        <v>1122</v>
      </c>
      <c r="D15">
        <v>1</v>
      </c>
      <c r="F15">
        <f>'Translate&amp;Prices&amp;Logo'!$B$78</f>
        <v>0</v>
      </c>
      <c r="J15" t="b">
        <f>FALSE</f>
        <v>0</v>
      </c>
      <c r="K15">
        <v>2</v>
      </c>
      <c r="AA15" t="s">
        <v>1899</v>
      </c>
      <c r="AB15" t="s">
        <v>1897</v>
      </c>
      <c r="AC15">
        <v>1</v>
      </c>
      <c r="AD15">
        <v>0</v>
      </c>
      <c r="AF15" t="s">
        <v>215</v>
      </c>
      <c r="AG15" t="s">
        <v>1907</v>
      </c>
      <c r="AY15" t="s">
        <v>3473</v>
      </c>
      <c r="BQ15" s="370"/>
      <c r="BY15" t="str">
        <f>'Translate&amp;Prices&amp;Logo'!$B$560</f>
        <v>Horizontal and vertical (delivery is 4 weeks)</v>
      </c>
      <c r="BZ15">
        <v>3</v>
      </c>
      <c r="CA15">
        <v>384</v>
      </c>
      <c r="CD15" t="s">
        <v>1914</v>
      </c>
      <c r="CE15">
        <v>1</v>
      </c>
      <c r="CF15">
        <v>0</v>
      </c>
      <c r="DN15" t="s">
        <v>2101</v>
      </c>
      <c r="DO15" s="11" t="s">
        <v>100</v>
      </c>
      <c r="ED15" t="s">
        <v>2629</v>
      </c>
      <c r="EE15" t="s">
        <v>2723</v>
      </c>
      <c r="ER15" t="s">
        <v>3131</v>
      </c>
      <c r="ES15" t="s">
        <v>3131</v>
      </c>
      <c r="FD15" s="388"/>
    </row>
    <row r="16" spans="1:160">
      <c r="A16" t="str">
        <f>'Translate&amp;Prices&amp;Logo'!$B$55</f>
        <v>BRW arany csiszolt - maximum profile length 2500 mm</v>
      </c>
      <c r="B16">
        <v>1</v>
      </c>
      <c r="C16" t="s">
        <v>1122</v>
      </c>
      <c r="D16">
        <v>0</v>
      </c>
      <c r="F16">
        <f>'Translate&amp;Prices&amp;Logo'!$B$79</f>
        <v>0</v>
      </c>
      <c r="AA16" t="s">
        <v>1899</v>
      </c>
      <c r="AB16" t="s">
        <v>1900</v>
      </c>
      <c r="AC16">
        <v>1</v>
      </c>
      <c r="AD16">
        <v>1</v>
      </c>
      <c r="AF16" t="s">
        <v>216</v>
      </c>
      <c r="AG16" t="s">
        <v>1907</v>
      </c>
      <c r="AY16" t="s">
        <v>3473</v>
      </c>
      <c r="AZ16" t="s">
        <v>3474</v>
      </c>
      <c r="CA16">
        <v>448</v>
      </c>
      <c r="CD16" t="str">
        <f>'Translate&amp;Prices&amp;Logo'!B659</f>
        <v>StrongLift_upper</v>
      </c>
      <c r="CE16">
        <v>1</v>
      </c>
      <c r="CF16">
        <v>1</v>
      </c>
      <c r="DN16" t="s">
        <v>528</v>
      </c>
      <c r="DO16" s="11" t="s">
        <v>98</v>
      </c>
      <c r="ED16" t="s">
        <v>2630</v>
      </c>
      <c r="EE16" t="s">
        <v>2724</v>
      </c>
      <c r="ER16" t="s">
        <v>3483</v>
      </c>
      <c r="ES16" t="s">
        <v>3483</v>
      </c>
      <c r="FD16" s="388"/>
    </row>
    <row r="17" spans="1:160">
      <c r="A17" t="str">
        <f>'Translate&amp;Prices&amp;Logo'!$B$17</f>
        <v>Corleone (elox.) - maximum profile length 1500 mm</v>
      </c>
      <c r="B17">
        <v>2</v>
      </c>
      <c r="C17" t="s">
        <v>1122</v>
      </c>
      <c r="D17">
        <v>0</v>
      </c>
      <c r="E17">
        <v>3</v>
      </c>
      <c r="F17">
        <f>'Translate&amp;Prices&amp;Logo'!$B$82</f>
        <v>0</v>
      </c>
      <c r="AA17" t="s">
        <v>1899</v>
      </c>
      <c r="AB17" t="str">
        <f>IF(Ram_6!AU7=2,"FREEspace"," ")</f>
        <v>FREEspace</v>
      </c>
      <c r="AC17">
        <v>0</v>
      </c>
      <c r="AD17">
        <v>0</v>
      </c>
      <c r="AF17" t="s">
        <v>215</v>
      </c>
      <c r="AG17" t="s">
        <v>1908</v>
      </c>
      <c r="AY17" t="s">
        <v>3473</v>
      </c>
      <c r="AZ17" t="s">
        <v>3475</v>
      </c>
      <c r="CA17">
        <v>480</v>
      </c>
      <c r="CD17" t="str">
        <f>'Translate&amp;Prices&amp;Logo'!B660</f>
        <v>StrongLift_bottom</v>
      </c>
      <c r="CE17">
        <v>1</v>
      </c>
      <c r="CF17">
        <v>1</v>
      </c>
      <c r="DN17" t="s">
        <v>2210</v>
      </c>
      <c r="DO17" s="11" t="s">
        <v>99</v>
      </c>
      <c r="ED17" t="s">
        <v>2631</v>
      </c>
      <c r="EE17" t="s">
        <v>2725</v>
      </c>
      <c r="ER17" t="s">
        <v>3485</v>
      </c>
      <c r="ES17" t="s">
        <v>3485</v>
      </c>
      <c r="FD17" s="388"/>
    </row>
    <row r="18" spans="1:160">
      <c r="A18" t="str">
        <f>'Translate&amp;Prices&amp;Logo'!$B$18</f>
        <v>Corleone black matt - maximum profile length 1500 mm</v>
      </c>
      <c r="B18">
        <v>2</v>
      </c>
      <c r="C18" t="s">
        <v>1122</v>
      </c>
      <c r="D18">
        <v>0</v>
      </c>
      <c r="E18">
        <v>3</v>
      </c>
      <c r="F18" t="str">
        <f>'Translate&amp;Prices&amp;Logo'!$B$80</f>
        <v>Rocca elox (Left and Right) + Varna elox (Top and Bottom)</v>
      </c>
      <c r="AA18" t="s">
        <v>1899</v>
      </c>
      <c r="AB18" t="s">
        <v>1903</v>
      </c>
      <c r="AC18">
        <v>0</v>
      </c>
      <c r="AD18">
        <v>0</v>
      </c>
      <c r="AF18" t="s">
        <v>216</v>
      </c>
      <c r="AG18" t="s">
        <v>1908</v>
      </c>
      <c r="AY18" t="s">
        <v>3473</v>
      </c>
      <c r="AZ18" t="s">
        <v>3476</v>
      </c>
      <c r="BY18">
        <v>1</v>
      </c>
      <c r="CA18">
        <v>576</v>
      </c>
      <c r="CD18" t="s">
        <v>1918</v>
      </c>
      <c r="CE18">
        <v>1</v>
      </c>
      <c r="CF18">
        <v>0</v>
      </c>
      <c r="DN18" t="s">
        <v>2211</v>
      </c>
      <c r="DO18" s="11" t="s">
        <v>100</v>
      </c>
      <c r="ED18" t="s">
        <v>2632</v>
      </c>
      <c r="EE18" t="s">
        <v>2726</v>
      </c>
      <c r="ER18" t="s">
        <v>3487</v>
      </c>
      <c r="ES18" t="s">
        <v>3487</v>
      </c>
    </row>
    <row r="19" spans="1:160">
      <c r="A19" t="str">
        <f>'Translate&amp;Prices&amp;Logo'!$B$59</f>
        <v>ASTI black matt - maximum profile length 2150 mm</v>
      </c>
      <c r="B19">
        <v>1</v>
      </c>
      <c r="C19" t="s">
        <v>1931</v>
      </c>
      <c r="D19">
        <v>0</v>
      </c>
      <c r="F19" t="str">
        <f>'Translate&amp;Prices&amp;Logo'!$B$81</f>
        <v>Rocca black (Left and right) + Varna black (Top and bottom)</v>
      </c>
      <c r="AA19" t="s">
        <v>1899</v>
      </c>
      <c r="AB19" t="s">
        <v>1904</v>
      </c>
      <c r="AC19">
        <v>0</v>
      </c>
      <c r="AD19">
        <v>0</v>
      </c>
      <c r="AF19" t="s">
        <v>215</v>
      </c>
      <c r="AG19" t="s">
        <v>1910</v>
      </c>
      <c r="AY19" t="s">
        <v>3473</v>
      </c>
      <c r="AZ19" t="s">
        <v>3477</v>
      </c>
      <c r="BY19">
        <v>2</v>
      </c>
      <c r="CA19">
        <v>672</v>
      </c>
      <c r="DN19" t="s">
        <v>2563</v>
      </c>
      <c r="DO19" t="s">
        <v>98</v>
      </c>
      <c r="ED19" t="s">
        <v>2633</v>
      </c>
      <c r="EE19" t="s">
        <v>2727</v>
      </c>
      <c r="ER19" t="s">
        <v>3489</v>
      </c>
      <c r="ES19" t="s">
        <v>3489</v>
      </c>
      <c r="FD19" s="388"/>
    </row>
    <row r="20" spans="1:160">
      <c r="A20" t="str">
        <f>'Translate&amp;Prices&amp;Logo'!$B$60</f>
        <v>ASTI anthracite RAL 7021 matt - maximum profile length 2500 mm</v>
      </c>
      <c r="B20">
        <v>1</v>
      </c>
      <c r="C20" t="s">
        <v>1931</v>
      </c>
      <c r="D20">
        <v>0</v>
      </c>
      <c r="AA20" t="s">
        <v>1899</v>
      </c>
      <c r="AB20" t="s">
        <v>1906</v>
      </c>
      <c r="AC20">
        <v>0</v>
      </c>
      <c r="AD20">
        <v>0</v>
      </c>
      <c r="AF20" t="s">
        <v>216</v>
      </c>
      <c r="AG20" t="s">
        <v>1910</v>
      </c>
      <c r="AY20" t="s">
        <v>3473</v>
      </c>
      <c r="AZ20" t="s">
        <v>3478</v>
      </c>
      <c r="BY20">
        <v>3</v>
      </c>
      <c r="CA20">
        <v>736</v>
      </c>
      <c r="DN20" t="s">
        <v>2420</v>
      </c>
      <c r="DO20" t="s">
        <v>99</v>
      </c>
      <c r="ED20" t="s">
        <v>2634</v>
      </c>
      <c r="EE20" t="s">
        <v>2728</v>
      </c>
      <c r="ER20" t="s">
        <v>3491</v>
      </c>
      <c r="ES20" t="s">
        <v>3491</v>
      </c>
      <c r="FD20" s="388"/>
    </row>
    <row r="21" spans="1:160">
      <c r="A21" t="str">
        <f>'Translate&amp;Prices&amp;Logo'!$B$19</f>
        <v>Imola (elox.) - maximum profile length 2500 mm</v>
      </c>
      <c r="B21">
        <v>2</v>
      </c>
      <c r="C21" t="s">
        <v>1931</v>
      </c>
      <c r="D21">
        <v>0</v>
      </c>
      <c r="AA21" t="s">
        <v>1899</v>
      </c>
      <c r="AB21" t="s">
        <v>1902</v>
      </c>
      <c r="AC21">
        <v>1</v>
      </c>
      <c r="AD21">
        <v>0</v>
      </c>
      <c r="AF21" t="s">
        <v>215</v>
      </c>
      <c r="AG21" t="s">
        <v>1911</v>
      </c>
      <c r="BY21">
        <v>4</v>
      </c>
      <c r="CA21">
        <v>768</v>
      </c>
      <c r="DN21" t="s">
        <v>1660</v>
      </c>
      <c r="DO21" t="s">
        <v>100</v>
      </c>
      <c r="ED21" t="s">
        <v>2635</v>
      </c>
      <c r="EE21" t="s">
        <v>2729</v>
      </c>
      <c r="ER21" t="s">
        <v>3493</v>
      </c>
      <c r="ES21" t="s">
        <v>3493</v>
      </c>
    </row>
    <row r="22" spans="1:160">
      <c r="A22" t="str">
        <f>'Translate&amp;Prices&amp;Logo'!$B$20</f>
        <v>Imola black matt - maximum profile length 2500 mm</v>
      </c>
      <c r="B22">
        <v>2</v>
      </c>
      <c r="C22" t="s">
        <v>1931</v>
      </c>
      <c r="D22">
        <v>0</v>
      </c>
      <c r="AA22" t="s">
        <v>1899</v>
      </c>
      <c r="AB22" t="s">
        <v>2058</v>
      </c>
      <c r="AC22">
        <v>1</v>
      </c>
      <c r="AD22">
        <v>0</v>
      </c>
      <c r="AF22" t="s">
        <v>216</v>
      </c>
      <c r="AG22" t="s">
        <v>1911</v>
      </c>
      <c r="BY22">
        <v>5</v>
      </c>
      <c r="CA22">
        <v>832</v>
      </c>
      <c r="DN22" s="487" t="s">
        <v>4952</v>
      </c>
      <c r="DO22" s="11" t="s">
        <v>98</v>
      </c>
      <c r="ED22" t="s">
        <v>2636</v>
      </c>
      <c r="EE22" t="s">
        <v>2730</v>
      </c>
      <c r="ER22" t="s">
        <v>3132</v>
      </c>
      <c r="ES22" t="s">
        <v>3132</v>
      </c>
    </row>
    <row r="23" spans="1:160">
      <c r="A23" t="str">
        <f>'Translate&amp;Prices&amp;Logo'!$B$21</f>
        <v>Imola white matt RAL 9003 - maximum profile length 2500 mm</v>
      </c>
      <c r="B23">
        <v>2</v>
      </c>
      <c r="C23" t="s">
        <v>1931</v>
      </c>
      <c r="D23">
        <v>0</v>
      </c>
      <c r="AA23" t="s">
        <v>1899</v>
      </c>
      <c r="AB23" t="s">
        <v>1907</v>
      </c>
      <c r="AC23">
        <v>1</v>
      </c>
      <c r="AD23">
        <v>0</v>
      </c>
      <c r="AF23" t="s">
        <v>215</v>
      </c>
      <c r="AG23" t="s">
        <v>1912</v>
      </c>
      <c r="BY23">
        <v>6</v>
      </c>
      <c r="CA23">
        <v>960</v>
      </c>
      <c r="DN23" s="487" t="s">
        <v>4953</v>
      </c>
      <c r="DO23" s="11" t="s">
        <v>99</v>
      </c>
      <c r="ED23" t="s">
        <v>2637</v>
      </c>
      <c r="EE23" t="s">
        <v>2731</v>
      </c>
      <c r="ER23" t="s">
        <v>3133</v>
      </c>
      <c r="ES23" t="s">
        <v>3133</v>
      </c>
    </row>
    <row r="24" spans="1:160">
      <c r="A24" t="str">
        <f>'Translate&amp;Prices&amp;Logo'!$B$45</f>
        <v>Imola gold - maximum profile length 2150 mm</v>
      </c>
      <c r="B24">
        <v>2</v>
      </c>
      <c r="C24" t="s">
        <v>1931</v>
      </c>
      <c r="D24">
        <v>0</v>
      </c>
      <c r="AF24" t="s">
        <v>216</v>
      </c>
      <c r="AG24" t="s">
        <v>1912</v>
      </c>
      <c r="BY24">
        <v>7</v>
      </c>
      <c r="DN24" s="487" t="s">
        <v>4954</v>
      </c>
      <c r="DO24" s="11" t="s">
        <v>100</v>
      </c>
      <c r="ED24" t="s">
        <v>2638</v>
      </c>
      <c r="EE24" t="s">
        <v>2732</v>
      </c>
      <c r="ER24" t="s">
        <v>3134</v>
      </c>
      <c r="ES24" t="s">
        <v>3134</v>
      </c>
    </row>
    <row r="25" spans="1:160">
      <c r="A25" t="str">
        <f>'Translate&amp;Prices&amp;Logo'!$B$22</f>
        <v>Modena (elox.) - maximum profile length 2500 mm</v>
      </c>
      <c r="B25">
        <v>2</v>
      </c>
      <c r="C25" t="s">
        <v>1122</v>
      </c>
      <c r="D25">
        <v>0</v>
      </c>
      <c r="AF25" t="s">
        <v>215</v>
      </c>
      <c r="AG25" t="s">
        <v>1913</v>
      </c>
      <c r="BY25">
        <v>8</v>
      </c>
      <c r="ED25" t="s">
        <v>2639</v>
      </c>
      <c r="EE25" t="s">
        <v>2733</v>
      </c>
      <c r="ER25" t="s">
        <v>3139</v>
      </c>
      <c r="ES25" t="s">
        <v>3139</v>
      </c>
    </row>
    <row r="26" spans="1:160">
      <c r="A26" t="str">
        <f>'Translate&amp;Prices&amp;Logo'!$B$23</f>
        <v>Modena black matt - maximum profile length 2500 mm</v>
      </c>
      <c r="B26">
        <v>2</v>
      </c>
      <c r="C26" t="s">
        <v>1122</v>
      </c>
      <c r="D26">
        <v>0</v>
      </c>
      <c r="AF26" t="s">
        <v>216</v>
      </c>
      <c r="AG26" t="s">
        <v>1913</v>
      </c>
      <c r="BY26">
        <v>9</v>
      </c>
      <c r="ED26" t="s">
        <v>2640</v>
      </c>
      <c r="EE26" t="s">
        <v>2734</v>
      </c>
      <c r="ER26" t="s">
        <v>3140</v>
      </c>
      <c r="ES26" t="s">
        <v>3140</v>
      </c>
    </row>
    <row r="27" spans="1:160">
      <c r="A27" t="str">
        <f>'Translate&amp;Prices&amp;Logo'!$B$25</f>
        <v>black black brushed - maximum profile length 2500 mm</v>
      </c>
      <c r="B27">
        <v>2</v>
      </c>
      <c r="C27" t="s">
        <v>1122</v>
      </c>
      <c r="D27">
        <v>0</v>
      </c>
      <c r="AF27" t="s">
        <v>215</v>
      </c>
      <c r="AG27" t="s">
        <v>1914</v>
      </c>
      <c r="BY27">
        <v>10</v>
      </c>
      <c r="ED27" t="s">
        <v>2641</v>
      </c>
      <c r="EE27" t="s">
        <v>2735</v>
      </c>
      <c r="ER27" t="s">
        <v>3141</v>
      </c>
      <c r="ES27" t="s">
        <v>3141</v>
      </c>
    </row>
    <row r="28" spans="1:160">
      <c r="A28" t="str">
        <f>'Translate&amp;Prices&amp;Logo'!$B$26</f>
        <v>Modena dark stainless steel brushed - maximum profile length 2500 mm</v>
      </c>
      <c r="B28">
        <v>2</v>
      </c>
      <c r="C28" t="s">
        <v>1122</v>
      </c>
      <c r="D28">
        <v>0</v>
      </c>
      <c r="AA28" t="s">
        <v>3053</v>
      </c>
      <c r="AB28" t="s">
        <v>1945</v>
      </c>
      <c r="AF28" t="s">
        <v>216</v>
      </c>
      <c r="AG28" t="s">
        <v>1914</v>
      </c>
      <c r="ED28" t="s">
        <v>2642</v>
      </c>
      <c r="EE28" t="s">
        <v>2736</v>
      </c>
      <c r="ER28" t="s">
        <v>3494</v>
      </c>
      <c r="ES28" t="s">
        <v>3494</v>
      </c>
    </row>
    <row r="29" spans="1:160">
      <c r="A29">
        <f>'Translate&amp;Prices&amp;Logo'!$B$27</f>
        <v>0</v>
      </c>
      <c r="B29">
        <v>2</v>
      </c>
      <c r="C29" t="s">
        <v>1122</v>
      </c>
      <c r="D29">
        <v>0</v>
      </c>
      <c r="AA29" t="s">
        <v>1909</v>
      </c>
      <c r="AB29" t="s">
        <v>1908</v>
      </c>
      <c r="AC29">
        <v>1</v>
      </c>
      <c r="AD29">
        <v>0</v>
      </c>
      <c r="AF29" t="s">
        <v>215</v>
      </c>
      <c r="AG29" t="s">
        <v>1915</v>
      </c>
      <c r="ED29" t="s">
        <v>2643</v>
      </c>
      <c r="EE29" t="s">
        <v>2737</v>
      </c>
      <c r="ER29" t="s">
        <v>3495</v>
      </c>
      <c r="ES29" t="s">
        <v>3495</v>
      </c>
    </row>
    <row r="30" spans="1:160">
      <c r="A30">
        <f>'Translate&amp;Prices&amp;Logo'!$B$28</f>
        <v>0</v>
      </c>
      <c r="B30">
        <v>2</v>
      </c>
      <c r="C30" t="s">
        <v>1122</v>
      </c>
      <c r="D30">
        <v>0</v>
      </c>
      <c r="AA30" t="s">
        <v>1909</v>
      </c>
      <c r="AB30" t="str">
        <f>CONCATENATE('Translate&amp;Prices&amp;Logo'!B664,"_K12")</f>
        <v>bottom_K12</v>
      </c>
      <c r="AC30">
        <v>1</v>
      </c>
      <c r="AD30">
        <v>0</v>
      </c>
      <c r="AF30" t="s">
        <v>216</v>
      </c>
      <c r="AG30" t="s">
        <v>1915</v>
      </c>
      <c r="ED30" t="s">
        <v>2644</v>
      </c>
      <c r="EE30" t="s">
        <v>2738</v>
      </c>
      <c r="ER30" t="s">
        <v>3496</v>
      </c>
      <c r="ES30" t="s">
        <v>3496</v>
      </c>
    </row>
    <row r="31" spans="1:160">
      <c r="A31" t="str">
        <f>'Translate&amp;Prices&amp;Logo'!$B$29</f>
        <v>Pisa (elox.) - maximum profile length 2500 mm</v>
      </c>
      <c r="B31">
        <v>2</v>
      </c>
      <c r="C31" t="s">
        <v>1931</v>
      </c>
      <c r="D31">
        <v>0</v>
      </c>
      <c r="AA31" t="s">
        <v>1909</v>
      </c>
      <c r="AB31" t="s">
        <v>1911</v>
      </c>
      <c r="AC31">
        <v>1</v>
      </c>
      <c r="AD31">
        <v>0</v>
      </c>
      <c r="AF31" t="s">
        <v>215</v>
      </c>
      <c r="AG31" t="s">
        <v>1916</v>
      </c>
      <c r="ED31" t="s">
        <v>2645</v>
      </c>
      <c r="EE31" t="s">
        <v>2739</v>
      </c>
      <c r="ER31" t="s">
        <v>3497</v>
      </c>
      <c r="ES31" t="s">
        <v>3497</v>
      </c>
    </row>
    <row r="32" spans="1:160">
      <c r="A32" t="str">
        <f>'Translate&amp;Prices&amp;Logo'!$B$53</f>
        <v>Pisa white gloss RAL 9003 - maximum profile length 2500 mm</v>
      </c>
      <c r="B32">
        <v>2</v>
      </c>
      <c r="C32" t="s">
        <v>1931</v>
      </c>
      <c r="D32">
        <v>0</v>
      </c>
      <c r="AA32" t="s">
        <v>1909</v>
      </c>
      <c r="AB32" t="str">
        <f>CONCATENATE('Translate&amp;Prices&amp;Logo'!B664,"_kraby")</f>
        <v>bottom_kraby</v>
      </c>
      <c r="AC32">
        <v>1</v>
      </c>
      <c r="AD32">
        <v>0</v>
      </c>
      <c r="AF32" t="s">
        <v>216</v>
      </c>
      <c r="AG32" t="s">
        <v>1916</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2646</v>
      </c>
      <c r="EE32" t="s">
        <v>2740</v>
      </c>
      <c r="ER32" t="s">
        <v>3498</v>
      </c>
      <c r="ES32" t="s">
        <v>3498</v>
      </c>
    </row>
    <row r="33" spans="1:149">
      <c r="A33" t="str">
        <f>'Translate&amp;Prices&amp;Logo'!$B$30</f>
        <v>Pisa black matt - maximum profile length 2500 mm</v>
      </c>
      <c r="B33">
        <v>2</v>
      </c>
      <c r="C33" t="s">
        <v>1931</v>
      </c>
      <c r="D33">
        <v>0</v>
      </c>
      <c r="AA33" t="s">
        <v>1909</v>
      </c>
      <c r="AB33" t="s">
        <v>1913</v>
      </c>
      <c r="AC33">
        <v>1</v>
      </c>
      <c r="AD33">
        <v>0</v>
      </c>
      <c r="AF33" t="s">
        <v>215</v>
      </c>
      <c r="AG33" t="s">
        <v>1918</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2647</v>
      </c>
      <c r="EE33" t="s">
        <v>2741</v>
      </c>
      <c r="ER33" t="s">
        <v>3499</v>
      </c>
      <c r="ES33" t="s">
        <v>3499</v>
      </c>
    </row>
    <row r="34" spans="1:149">
      <c r="A34" t="str">
        <f>'Translate&amp;Prices&amp;Logo'!$B$58</f>
        <v>Pisa gold - maximum profile length 2150 mm</v>
      </c>
      <c r="B34">
        <v>2</v>
      </c>
      <c r="C34" t="s">
        <v>1931</v>
      </c>
      <c r="D34">
        <v>0</v>
      </c>
      <c r="AB34" t="s">
        <v>1914</v>
      </c>
      <c r="AC34">
        <v>1</v>
      </c>
      <c r="AD34">
        <v>0</v>
      </c>
      <c r="AF34" t="s">
        <v>216</v>
      </c>
      <c r="AG34" t="s">
        <v>1918</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2648</v>
      </c>
      <c r="EE34" t="s">
        <v>2742</v>
      </c>
      <c r="ER34" t="s">
        <v>3142</v>
      </c>
      <c r="ES34" t="s">
        <v>3142</v>
      </c>
    </row>
    <row r="35" spans="1:149">
      <c r="A35" t="str">
        <f>'Translate&amp;Prices&amp;Logo'!$B$50</f>
        <v>Rocca (elox.) - maximum profile length 2150 mm</v>
      </c>
      <c r="B35">
        <v>1</v>
      </c>
      <c r="C35" t="s">
        <v>1122</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2649</v>
      </c>
      <c r="EE35" t="s">
        <v>2743</v>
      </c>
      <c r="ER35" t="s">
        <v>3143</v>
      </c>
      <c r="ES35" t="s">
        <v>3143</v>
      </c>
    </row>
    <row r="36" spans="1:149">
      <c r="A36" t="str">
        <f>'Translate&amp;Prices&amp;Logo'!$B$42</f>
        <v>Rocca black matt - maximum profile length 2150 mm</v>
      </c>
      <c r="B36">
        <v>1</v>
      </c>
      <c r="C36" t="s">
        <v>1122</v>
      </c>
      <c r="D36">
        <v>0</v>
      </c>
      <c r="ED36" t="s">
        <v>2588</v>
      </c>
      <c r="EE36" t="s">
        <v>2744</v>
      </c>
      <c r="ER36" t="s">
        <v>3144</v>
      </c>
      <c r="ES36" t="s">
        <v>3144</v>
      </c>
    </row>
    <row r="37" spans="1:149">
      <c r="A37">
        <f>'Translate&amp;Prices&amp;Logo'!$B$32</f>
        <v>0</v>
      </c>
      <c r="B37">
        <v>2</v>
      </c>
      <c r="C37" t="s">
        <v>1122</v>
      </c>
      <c r="D37">
        <v>0</v>
      </c>
      <c r="BY37" t="s">
        <v>2298</v>
      </c>
      <c r="ED37" t="s">
        <v>2589</v>
      </c>
      <c r="EE37" t="s">
        <v>2745</v>
      </c>
      <c r="ER37" t="s">
        <v>3189</v>
      </c>
      <c r="ES37" t="s">
        <v>3183</v>
      </c>
    </row>
    <row r="38" spans="1:149">
      <c r="A38">
        <f>'Translate&amp;Prices&amp;Logo'!$B$33</f>
        <v>0</v>
      </c>
      <c r="B38">
        <v>2</v>
      </c>
      <c r="C38" t="s">
        <v>1122</v>
      </c>
      <c r="D38">
        <v>0</v>
      </c>
      <c r="ED38" t="s">
        <v>2590</v>
      </c>
      <c r="EE38" t="s">
        <v>2746</v>
      </c>
      <c r="ER38" t="s">
        <v>3190</v>
      </c>
      <c r="ES38" t="s">
        <v>3184</v>
      </c>
    </row>
    <row r="39" spans="1:149">
      <c r="A39" t="str">
        <f>'Translate&amp;Prices&amp;Logo'!$B$34</f>
        <v>Verona (elox.) - maximum profile length 2500 mm</v>
      </c>
      <c r="B39">
        <v>1</v>
      </c>
      <c r="C39" t="s">
        <v>1122</v>
      </c>
      <c r="D39">
        <v>0</v>
      </c>
      <c r="AA39" t="s">
        <v>3537</v>
      </c>
      <c r="AB39" t="s">
        <v>3535</v>
      </c>
      <c r="ED39" t="s">
        <v>2591</v>
      </c>
      <c r="EE39" t="s">
        <v>2747</v>
      </c>
      <c r="ER39" t="s">
        <v>3191</v>
      </c>
      <c r="ES39" t="s">
        <v>3185</v>
      </c>
    </row>
    <row r="40" spans="1:149">
      <c r="A40" t="str">
        <f>'Translate&amp;Prices&amp;Logo'!$B$35</f>
        <v>Verona brushed aluminium - maximum profile length 2500 mm</v>
      </c>
      <c r="B40">
        <v>1</v>
      </c>
      <c r="C40" t="s">
        <v>1122</v>
      </c>
      <c r="D40">
        <v>0</v>
      </c>
      <c r="AA40" t="s">
        <v>3537</v>
      </c>
      <c r="AB40" t="str">
        <f>'Translate&amp;Prices&amp;Logo'!B659</f>
        <v>StrongLift_upper</v>
      </c>
      <c r="AC40">
        <v>1</v>
      </c>
      <c r="AD40">
        <v>0</v>
      </c>
      <c r="ED40" t="s">
        <v>2592</v>
      </c>
      <c r="EE40" t="s">
        <v>2748</v>
      </c>
      <c r="ER40" t="s">
        <v>3192</v>
      </c>
      <c r="ES40" t="s">
        <v>3186</v>
      </c>
    </row>
    <row r="41" spans="1:149">
      <c r="A41" t="str">
        <f>'Translate&amp;Prices&amp;Logo'!$B$37</f>
        <v>Verona black matt - maximum profile length 2500 mm</v>
      </c>
      <c r="B41">
        <v>1</v>
      </c>
      <c r="C41" t="s">
        <v>1122</v>
      </c>
      <c r="D41">
        <v>0</v>
      </c>
      <c r="AB41" t="str">
        <f>'Translate&amp;Prices&amp;Logo'!B660</f>
        <v>StrongLift_bottom</v>
      </c>
      <c r="AC41">
        <v>1</v>
      </c>
      <c r="AD41">
        <v>0</v>
      </c>
      <c r="ED41" t="s">
        <v>2593</v>
      </c>
      <c r="EE41" t="s">
        <v>2749</v>
      </c>
      <c r="ER41" t="s">
        <v>3193</v>
      </c>
      <c r="ES41" t="s">
        <v>3187</v>
      </c>
    </row>
    <row r="42" spans="1:149">
      <c r="A42" t="str">
        <f>'Translate&amp;Prices&amp;Logo'!$B$36</f>
        <v>Verona black gloss - maximum profile length 2500 mm</v>
      </c>
      <c r="B42">
        <v>1</v>
      </c>
      <c r="C42" t="s">
        <v>1122</v>
      </c>
      <c r="D42">
        <v>0</v>
      </c>
      <c r="AA42" t="s">
        <v>3054</v>
      </c>
      <c r="AB42" t="s">
        <v>1944</v>
      </c>
      <c r="ED42" t="s">
        <v>2594</v>
      </c>
      <c r="EE42" t="s">
        <v>2750</v>
      </c>
      <c r="ER42" t="s">
        <v>3194</v>
      </c>
      <c r="ES42" t="s">
        <v>3188</v>
      </c>
    </row>
    <row r="43" spans="1:149">
      <c r="A43" t="str">
        <f>'Translate&amp;Prices&amp;Logo'!$B$38</f>
        <v>Verona brown - maximum profile length 2500 mm</v>
      </c>
      <c r="B43">
        <v>1</v>
      </c>
      <c r="C43" t="s">
        <v>1122</v>
      </c>
      <c r="D43">
        <v>0</v>
      </c>
      <c r="AA43" t="s">
        <v>1917</v>
      </c>
      <c r="AB43" t="s">
        <v>2064</v>
      </c>
      <c r="AC43">
        <v>0</v>
      </c>
      <c r="AD43">
        <v>0</v>
      </c>
      <c r="ED43" t="s">
        <v>2595</v>
      </c>
      <c r="EE43" t="s">
        <v>2751</v>
      </c>
      <c r="ER43" t="s">
        <v>3508</v>
      </c>
      <c r="ES43" t="s">
        <v>3500</v>
      </c>
    </row>
    <row r="44" spans="1:149">
      <c r="A44" t="str">
        <f>'Translate&amp;Prices&amp;Logo'!$B$39</f>
        <v>Verona champagne - maximum profile length 2500 mm</v>
      </c>
      <c r="B44">
        <v>1</v>
      </c>
      <c r="C44" t="s">
        <v>1122</v>
      </c>
      <c r="D44">
        <v>0</v>
      </c>
      <c r="AA44" t="s">
        <v>1917</v>
      </c>
      <c r="AB44" t="s">
        <v>1918</v>
      </c>
      <c r="AC44">
        <v>1</v>
      </c>
      <c r="AD44">
        <v>0</v>
      </c>
      <c r="ED44" t="s">
        <v>2596</v>
      </c>
      <c r="EE44" t="s">
        <v>2752</v>
      </c>
      <c r="ER44" t="s">
        <v>3509</v>
      </c>
      <c r="ES44" t="s">
        <v>3501</v>
      </c>
    </row>
    <row r="45" spans="1:149">
      <c r="A45" t="str">
        <f>'Translate&amp;Prices&amp;Logo'!$B$40</f>
        <v>Verona dark stainless steel brushed - maximum profile length 2500 mm</v>
      </c>
      <c r="B45">
        <v>1</v>
      </c>
      <c r="C45" t="s">
        <v>1122</v>
      </c>
      <c r="D45">
        <v>0</v>
      </c>
      <c r="AB45" t="s">
        <v>2065</v>
      </c>
      <c r="AC45">
        <v>0</v>
      </c>
      <c r="AD45">
        <v>0</v>
      </c>
      <c r="ED45" t="s">
        <v>2597</v>
      </c>
      <c r="EE45" t="s">
        <v>2753</v>
      </c>
      <c r="ER45" t="s">
        <v>3213</v>
      </c>
      <c r="ES45" t="s">
        <v>3207</v>
      </c>
    </row>
    <row r="46" spans="1:149">
      <c r="A46" t="str">
        <f>'Translate&amp;Prices&amp;Logo'!$B$41</f>
        <v>Verona light stainless steel (Acier grata) - maximum profile length 2500 mm</v>
      </c>
      <c r="B46">
        <v>1</v>
      </c>
      <c r="C46" t="s">
        <v>1122</v>
      </c>
      <c r="D46">
        <v>0</v>
      </c>
      <c r="ED46" t="s">
        <v>2598</v>
      </c>
      <c r="EE46" t="s">
        <v>2754</v>
      </c>
      <c r="ER46" t="s">
        <v>3214</v>
      </c>
      <c r="ES46" t="s">
        <v>3208</v>
      </c>
    </row>
    <row r="47" spans="1:149">
      <c r="A47" t="str">
        <f>'Translate&amp;Prices&amp;Logo'!$B$24</f>
        <v>Verona gold - maximum profile length 2150 mm</v>
      </c>
      <c r="B47">
        <v>1</v>
      </c>
      <c r="C47" t="s">
        <v>1122</v>
      </c>
      <c r="D47">
        <v>0</v>
      </c>
      <c r="ED47" t="s">
        <v>2599</v>
      </c>
      <c r="EE47" t="s">
        <v>2755</v>
      </c>
      <c r="ER47" t="s">
        <v>3215</v>
      </c>
      <c r="ES47" t="s">
        <v>3209</v>
      </c>
    </row>
    <row r="48" spans="1:149">
      <c r="A48" t="str">
        <f>'Translate&amp;Prices&amp;Logo'!$B$56</f>
        <v>Verona gold brushed - maximum profile length 2150 mm</v>
      </c>
      <c r="B48">
        <v>1</v>
      </c>
      <c r="C48" t="s">
        <v>1122</v>
      </c>
      <c r="D48">
        <v>0</v>
      </c>
      <c r="ED48" t="s">
        <v>2600</v>
      </c>
      <c r="EE48" t="s">
        <v>2756</v>
      </c>
      <c r="ER48" t="s">
        <v>3216</v>
      </c>
      <c r="ES48" t="s">
        <v>3210</v>
      </c>
    </row>
    <row r="49" spans="1:149">
      <c r="A49" t="str">
        <f>'Translate&amp;Prices&amp;Logo'!$B$43</f>
        <v>Vivaro (elox.) - maximum profile length 2500 mm</v>
      </c>
      <c r="B49">
        <v>2</v>
      </c>
      <c r="C49" t="s">
        <v>1122</v>
      </c>
      <c r="D49">
        <v>1</v>
      </c>
      <c r="AA49" t="s">
        <v>3055</v>
      </c>
      <c r="AB49" t="s">
        <v>3057</v>
      </c>
      <c r="ED49" t="s">
        <v>2601</v>
      </c>
      <c r="EE49" t="s">
        <v>2757</v>
      </c>
      <c r="ER49" t="s">
        <v>3217</v>
      </c>
      <c r="ES49" t="s">
        <v>3211</v>
      </c>
    </row>
    <row r="50" spans="1:149">
      <c r="A50" t="str">
        <f>'Translate&amp;Prices&amp;Logo'!$B$44</f>
        <v>Vivaro black matt - maximum profile length 2500 mm</v>
      </c>
      <c r="B50">
        <v>2</v>
      </c>
      <c r="C50" t="s">
        <v>1122</v>
      </c>
      <c r="D50">
        <v>1</v>
      </c>
      <c r="AB50" t="s">
        <v>3408</v>
      </c>
      <c r="AC50">
        <v>0</v>
      </c>
      <c r="AD50">
        <v>0</v>
      </c>
      <c r="ED50" t="s">
        <v>2602</v>
      </c>
      <c r="EE50" t="s">
        <v>2758</v>
      </c>
      <c r="ER50" t="s">
        <v>3218</v>
      </c>
      <c r="ES50" t="s">
        <v>3212</v>
      </c>
    </row>
    <row r="51" spans="1:149">
      <c r="A51" t="str">
        <f>'Translate&amp;Prices&amp;Logo'!$B$46</f>
        <v>Vivaro dark stainless steel - maximum profile length 2500 mm</v>
      </c>
      <c r="B51">
        <v>2</v>
      </c>
      <c r="C51" t="s">
        <v>1122</v>
      </c>
      <c r="D51">
        <v>0</v>
      </c>
      <c r="AB51" t="s">
        <v>3410</v>
      </c>
      <c r="AC51">
        <v>0</v>
      </c>
      <c r="AD51">
        <v>0</v>
      </c>
      <c r="ED51" t="s">
        <v>2603</v>
      </c>
      <c r="EE51" t="s">
        <v>2759</v>
      </c>
      <c r="ER51" t="s">
        <v>3510</v>
      </c>
      <c r="ES51" t="s">
        <v>3502</v>
      </c>
    </row>
    <row r="52" spans="1:149">
      <c r="A52" t="str">
        <f>'Translate&amp;Prices&amp;Logo'!$B$47</f>
        <v>Vivaro white matt RAL 9003 - maximum profile length 2500 mm</v>
      </c>
      <c r="B52">
        <v>2</v>
      </c>
      <c r="C52" t="s">
        <v>1122</v>
      </c>
      <c r="D52">
        <v>0</v>
      </c>
      <c r="AB52" t="s">
        <v>3405</v>
      </c>
      <c r="AC52">
        <v>0</v>
      </c>
      <c r="AD52">
        <v>0</v>
      </c>
      <c r="ED52" t="s">
        <v>2604</v>
      </c>
      <c r="EE52" t="s">
        <v>2760</v>
      </c>
      <c r="ER52" t="s">
        <v>3511</v>
      </c>
      <c r="ES52" t="s">
        <v>3503</v>
      </c>
    </row>
    <row r="53" spans="1:149">
      <c r="A53" t="str">
        <f>'Translate&amp;Prices&amp;Logo'!$B$48</f>
        <v>Vivaro white gloss RAL 9003 - maximum profile length 2500 mm</v>
      </c>
      <c r="B53">
        <v>2</v>
      </c>
      <c r="C53" t="s">
        <v>1122</v>
      </c>
      <c r="D53">
        <v>0</v>
      </c>
      <c r="AB53" t="s">
        <v>3406</v>
      </c>
      <c r="AC53">
        <v>0</v>
      </c>
      <c r="AD53">
        <v>0</v>
      </c>
      <c r="ED53" t="s">
        <v>2605</v>
      </c>
      <c r="EE53" t="s">
        <v>2761</v>
      </c>
      <c r="ER53" t="s">
        <v>3512</v>
      </c>
      <c r="ES53" t="s">
        <v>3504</v>
      </c>
    </row>
    <row r="54" spans="1:149">
      <c r="A54" t="str">
        <f>'Translate&amp;Prices&amp;Logo'!$B$31</f>
        <v>Vivaro gold - maximum profile length 2150 mm</v>
      </c>
      <c r="B54">
        <v>2</v>
      </c>
      <c r="C54" t="s">
        <v>1122</v>
      </c>
      <c r="D54">
        <v>1</v>
      </c>
      <c r="ED54" t="s">
        <v>2606</v>
      </c>
      <c r="EE54" t="s">
        <v>2762</v>
      </c>
      <c r="ER54" t="s">
        <v>3513</v>
      </c>
      <c r="ES54" t="s">
        <v>3505</v>
      </c>
    </row>
    <row r="55" spans="1:149">
      <c r="A55" t="str">
        <f>'Translate&amp;Prices&amp;Logo'!$B$57</f>
        <v>Vivaro gold brushed - maximum profile length 2150 mm</v>
      </c>
      <c r="B55">
        <v>2</v>
      </c>
      <c r="C55" t="s">
        <v>1122</v>
      </c>
      <c r="D55">
        <v>0</v>
      </c>
      <c r="ED55" t="s">
        <v>2607</v>
      </c>
      <c r="EE55" t="s">
        <v>2763</v>
      </c>
      <c r="ER55" t="s">
        <v>3514</v>
      </c>
      <c r="ES55" t="s">
        <v>3506</v>
      </c>
    </row>
    <row r="56" spans="1:149">
      <c r="A56">
        <f>'Translate&amp;Prices&amp;Logo'!$B$77</f>
        <v>0</v>
      </c>
      <c r="B56">
        <v>3</v>
      </c>
      <c r="C56" t="s">
        <v>1122</v>
      </c>
      <c r="D56">
        <v>0</v>
      </c>
      <c r="ED56" t="s">
        <v>2608</v>
      </c>
      <c r="EE56" t="s">
        <v>2764</v>
      </c>
      <c r="ER56" t="s">
        <v>3515</v>
      </c>
      <c r="ES56" t="s">
        <v>3507</v>
      </c>
    </row>
    <row r="57" spans="1:149">
      <c r="A57">
        <f>'Translate&amp;Prices&amp;Logo'!$B$78</f>
        <v>0</v>
      </c>
      <c r="B57">
        <v>3</v>
      </c>
      <c r="C57" t="s">
        <v>1122</v>
      </c>
      <c r="D57">
        <v>0</v>
      </c>
      <c r="ED57" t="s">
        <v>2609</v>
      </c>
      <c r="EE57" t="s">
        <v>2765</v>
      </c>
      <c r="ER57" t="s">
        <v>3195</v>
      </c>
      <c r="ES57" t="s">
        <v>3183</v>
      </c>
    </row>
    <row r="58" spans="1:149">
      <c r="A58">
        <f>'Translate&amp;Prices&amp;Logo'!$B$79</f>
        <v>0</v>
      </c>
      <c r="B58">
        <v>3</v>
      </c>
      <c r="C58" t="s">
        <v>1122</v>
      </c>
      <c r="D58">
        <v>0</v>
      </c>
      <c r="ED58" t="s">
        <v>2610</v>
      </c>
      <c r="EE58" t="s">
        <v>2766</v>
      </c>
      <c r="ER58" t="s">
        <v>3196</v>
      </c>
      <c r="ES58" t="s">
        <v>3184</v>
      </c>
    </row>
    <row r="59" spans="1:149">
      <c r="A59">
        <f>'Translate&amp;Prices&amp;Logo'!$B$82</f>
        <v>0</v>
      </c>
      <c r="B59">
        <v>3</v>
      </c>
      <c r="C59" t="s">
        <v>1122</v>
      </c>
      <c r="D59">
        <v>0</v>
      </c>
      <c r="AA59" t="s">
        <v>3056</v>
      </c>
      <c r="AB59" t="s">
        <v>3058</v>
      </c>
      <c r="ED59" t="s">
        <v>2611</v>
      </c>
      <c r="EE59" t="s">
        <v>2767</v>
      </c>
      <c r="ER59" t="s">
        <v>3197</v>
      </c>
      <c r="ES59" t="s">
        <v>3185</v>
      </c>
    </row>
    <row r="60" spans="1:149">
      <c r="A60" t="str">
        <f>'Translate&amp;Prices&amp;Logo'!$B$80</f>
        <v>Rocca elox (Left and Right) + Varna elox (Top and Bottom)</v>
      </c>
      <c r="B60">
        <v>3</v>
      </c>
      <c r="C60" t="s">
        <v>1122</v>
      </c>
      <c r="D60">
        <v>0</v>
      </c>
      <c r="AB60" t="s">
        <v>1901</v>
      </c>
      <c r="AC60">
        <v>0</v>
      </c>
      <c r="AD60">
        <v>0</v>
      </c>
      <c r="ED60" t="s">
        <v>2612</v>
      </c>
      <c r="EE60" t="s">
        <v>2768</v>
      </c>
      <c r="ER60" t="s">
        <v>3198</v>
      </c>
      <c r="ES60" t="s">
        <v>3186</v>
      </c>
    </row>
    <row r="61" spans="1:149">
      <c r="A61" t="str">
        <f>'Translate&amp;Prices&amp;Logo'!$B$81</f>
        <v>Rocca black (Left and right) + Varna black (Top and bottom)</v>
      </c>
      <c r="B61">
        <v>3</v>
      </c>
      <c r="C61" t="s">
        <v>1122</v>
      </c>
      <c r="D61">
        <v>0</v>
      </c>
      <c r="AB61" t="s">
        <v>1903</v>
      </c>
      <c r="AC61">
        <v>0</v>
      </c>
      <c r="AD61">
        <v>0</v>
      </c>
      <c r="ED61" t="s">
        <v>2613</v>
      </c>
      <c r="EE61" t="s">
        <v>2769</v>
      </c>
      <c r="ER61" t="s">
        <v>3199</v>
      </c>
      <c r="ES61" t="s">
        <v>3187</v>
      </c>
    </row>
    <row r="62" spans="1:149">
      <c r="A62" t="str">
        <f>'Translate&amp;Prices&amp;Logo'!$B$71</f>
        <v>ROMA black matt  - maximum profile length 2696 mm</v>
      </c>
      <c r="B62">
        <v>1</v>
      </c>
      <c r="C62" t="s">
        <v>1122</v>
      </c>
      <c r="D62">
        <v>0</v>
      </c>
      <c r="AB62" t="s">
        <v>1904</v>
      </c>
      <c r="AC62">
        <v>0</v>
      </c>
      <c r="AD62">
        <v>0</v>
      </c>
      <c r="ED62" t="s">
        <v>2614</v>
      </c>
      <c r="EE62" t="s">
        <v>2770</v>
      </c>
      <c r="ER62" t="s">
        <v>3200</v>
      </c>
      <c r="ES62" t="s">
        <v>3188</v>
      </c>
    </row>
    <row r="63" spans="1:149">
      <c r="A63" t="str">
        <f>'Translate&amp;Prices&amp;Logo'!$B$72</f>
        <v>ROMA champagne matt  - maximum profile length 2696 mm</v>
      </c>
      <c r="B63">
        <v>1</v>
      </c>
      <c r="C63" t="s">
        <v>1122</v>
      </c>
      <c r="D63">
        <v>0</v>
      </c>
      <c r="AB63" t="s">
        <v>1906</v>
      </c>
      <c r="AC63">
        <v>0</v>
      </c>
      <c r="AD63">
        <v>0</v>
      </c>
      <c r="ED63" t="s">
        <v>2615</v>
      </c>
      <c r="EE63" t="s">
        <v>2771</v>
      </c>
      <c r="ER63" t="s">
        <v>3516</v>
      </c>
      <c r="ES63" t="s">
        <v>3500</v>
      </c>
    </row>
    <row r="64" spans="1:149">
      <c r="A64" t="str">
        <f>'Translate&amp;Prices&amp;Logo'!$B$73</f>
        <v>ROMA GRIP black matt  - maximum profile length 2696 mm</v>
      </c>
      <c r="B64">
        <v>1</v>
      </c>
      <c r="C64" t="s">
        <v>1122</v>
      </c>
      <c r="D64">
        <v>0</v>
      </c>
      <c r="ED64" t="s">
        <v>2616</v>
      </c>
      <c r="EE64" t="s">
        <v>2772</v>
      </c>
      <c r="ER64" t="s">
        <v>3517</v>
      </c>
      <c r="ES64" t="s">
        <v>3501</v>
      </c>
    </row>
    <row r="65" spans="1:149">
      <c r="A65" t="str">
        <f>'Translate&amp;Prices&amp;Logo'!$B$74</f>
        <v>ROMA GRIP champagne matt  - maximum profile length 2696 mm</v>
      </c>
      <c r="B65">
        <v>1</v>
      </c>
      <c r="C65" t="s">
        <v>1122</v>
      </c>
      <c r="D65">
        <v>0</v>
      </c>
      <c r="ED65" t="s">
        <v>2650</v>
      </c>
      <c r="EE65" t="s">
        <v>2711</v>
      </c>
      <c r="ER65" t="s">
        <v>3219</v>
      </c>
      <c r="ES65" t="s">
        <v>3207</v>
      </c>
    </row>
    <row r="66" spans="1:149">
      <c r="ED66" t="s">
        <v>2651</v>
      </c>
      <c r="EE66" t="s">
        <v>2712</v>
      </c>
      <c r="ER66" t="s">
        <v>3220</v>
      </c>
      <c r="ES66" t="s">
        <v>3208</v>
      </c>
    </row>
    <row r="67" spans="1:149">
      <c r="Q67" t="str">
        <f>'Translate&amp;Prices&amp;Logo'!$B$69</f>
        <v>BRW champagne - maximum profile length 2500 mm</v>
      </c>
      <c r="ED67" t="s">
        <v>2652</v>
      </c>
      <c r="EE67" t="s">
        <v>2713</v>
      </c>
      <c r="ER67" t="s">
        <v>3221</v>
      </c>
      <c r="ES67" t="s">
        <v>3209</v>
      </c>
    </row>
    <row r="68" spans="1:149">
      <c r="ED68" t="s">
        <v>2653</v>
      </c>
      <c r="EE68" t="s">
        <v>2714</v>
      </c>
      <c r="ER68" t="s">
        <v>3222</v>
      </c>
      <c r="ES68" t="s">
        <v>3210</v>
      </c>
    </row>
    <row r="69" spans="1:149">
      <c r="ED69" t="s">
        <v>2654</v>
      </c>
      <c r="EE69" t="s">
        <v>2715</v>
      </c>
      <c r="ER69" t="s">
        <v>3223</v>
      </c>
      <c r="ES69" t="s">
        <v>3211</v>
      </c>
    </row>
    <row r="70" spans="1:149">
      <c r="ED70" t="s">
        <v>2655</v>
      </c>
      <c r="EE70" t="s">
        <v>2716</v>
      </c>
      <c r="ER70" t="s">
        <v>3224</v>
      </c>
      <c r="ES70" t="s">
        <v>3212</v>
      </c>
    </row>
    <row r="71" spans="1:149">
      <c r="ED71" t="s">
        <v>2656</v>
      </c>
      <c r="EE71" t="s">
        <v>2717</v>
      </c>
      <c r="ER71" t="s">
        <v>3518</v>
      </c>
      <c r="ES71" t="s">
        <v>3502</v>
      </c>
    </row>
    <row r="72" spans="1:149">
      <c r="ED72" t="s">
        <v>2657</v>
      </c>
      <c r="EE72" t="s">
        <v>2718</v>
      </c>
      <c r="ER72" t="s">
        <v>3519</v>
      </c>
      <c r="ES72" t="s">
        <v>3503</v>
      </c>
    </row>
    <row r="73" spans="1:149">
      <c r="ED73" t="s">
        <v>2658</v>
      </c>
      <c r="EE73" t="s">
        <v>2719</v>
      </c>
      <c r="ER73" t="s">
        <v>3520</v>
      </c>
      <c r="ES73" t="s">
        <v>3504</v>
      </c>
    </row>
    <row r="74" spans="1:149">
      <c r="ED74" t="s">
        <v>2659</v>
      </c>
      <c r="EE74" t="s">
        <v>2720</v>
      </c>
      <c r="ER74" t="s">
        <v>3521</v>
      </c>
      <c r="ES74" t="s">
        <v>3505</v>
      </c>
    </row>
    <row r="75" spans="1:149">
      <c r="ED75" t="s">
        <v>2660</v>
      </c>
      <c r="EE75" t="s">
        <v>2721</v>
      </c>
      <c r="ER75" t="s">
        <v>3522</v>
      </c>
      <c r="ES75" t="s">
        <v>3506</v>
      </c>
    </row>
    <row r="76" spans="1:149">
      <c r="ED76" t="s">
        <v>3542</v>
      </c>
      <c r="EE76" t="s">
        <v>3543</v>
      </c>
      <c r="ER76" t="s">
        <v>3523</v>
      </c>
      <c r="ES76" t="s">
        <v>3507</v>
      </c>
    </row>
    <row r="77" spans="1:149">
      <c r="ED77" t="s">
        <v>2661</v>
      </c>
      <c r="EE77" t="s">
        <v>2722</v>
      </c>
      <c r="ER77" t="s">
        <v>3201</v>
      </c>
      <c r="ES77" t="s">
        <v>3183</v>
      </c>
    </row>
    <row r="78" spans="1:149">
      <c r="A78" t="s">
        <v>643</v>
      </c>
      <c r="ED78" t="s">
        <v>2662</v>
      </c>
      <c r="EE78" t="s">
        <v>2723</v>
      </c>
      <c r="ER78" t="s">
        <v>3202</v>
      </c>
      <c r="ES78" t="s">
        <v>3184</v>
      </c>
    </row>
    <row r="79" spans="1:149">
      <c r="ED79" t="s">
        <v>2663</v>
      </c>
      <c r="EE79" t="s">
        <v>2724</v>
      </c>
      <c r="ER79" t="s">
        <v>3203</v>
      </c>
      <c r="ES79" t="s">
        <v>3185</v>
      </c>
    </row>
    <row r="80" spans="1:149">
      <c r="ED80" t="s">
        <v>2664</v>
      </c>
      <c r="EE80" t="s">
        <v>2725</v>
      </c>
      <c r="ER80" t="s">
        <v>3204</v>
      </c>
      <c r="ES80" t="s">
        <v>3186</v>
      </c>
    </row>
    <row r="81" spans="134:149">
      <c r="ED81" t="s">
        <v>2665</v>
      </c>
      <c r="EE81" t="s">
        <v>2726</v>
      </c>
      <c r="ER81" t="s">
        <v>3205</v>
      </c>
      <c r="ES81" t="s">
        <v>3187</v>
      </c>
    </row>
    <row r="82" spans="134:149">
      <c r="ED82" t="s">
        <v>2666</v>
      </c>
      <c r="EE82" t="s">
        <v>2727</v>
      </c>
      <c r="ER82" t="s">
        <v>3206</v>
      </c>
      <c r="ES82" t="s">
        <v>3188</v>
      </c>
    </row>
    <row r="83" spans="134:149">
      <c r="ED83" t="s">
        <v>2667</v>
      </c>
      <c r="EE83" t="s">
        <v>2728</v>
      </c>
      <c r="ER83" t="s">
        <v>3524</v>
      </c>
      <c r="ES83" t="s">
        <v>3500</v>
      </c>
    </row>
    <row r="84" spans="134:149">
      <c r="ED84" t="s">
        <v>2668</v>
      </c>
      <c r="EE84" t="s">
        <v>2729</v>
      </c>
      <c r="ER84" t="s">
        <v>3525</v>
      </c>
      <c r="ES84" t="s">
        <v>3501</v>
      </c>
    </row>
    <row r="85" spans="134:149">
      <c r="ED85" t="s">
        <v>2669</v>
      </c>
      <c r="EE85" t="s">
        <v>2730</v>
      </c>
      <c r="ER85" t="s">
        <v>3225</v>
      </c>
      <c r="ES85" t="s">
        <v>3207</v>
      </c>
    </row>
    <row r="86" spans="134:149">
      <c r="ED86" t="s">
        <v>2582</v>
      </c>
      <c r="EE86" t="s">
        <v>2731</v>
      </c>
      <c r="ER86" t="s">
        <v>3226</v>
      </c>
      <c r="ES86" t="s">
        <v>3208</v>
      </c>
    </row>
    <row r="87" spans="134:149">
      <c r="ED87" t="s">
        <v>2670</v>
      </c>
      <c r="EE87" t="s">
        <v>2732</v>
      </c>
      <c r="ER87" t="s">
        <v>3227</v>
      </c>
      <c r="ES87" t="s">
        <v>3209</v>
      </c>
    </row>
    <row r="88" spans="134:149">
      <c r="ED88" t="s">
        <v>2671</v>
      </c>
      <c r="EE88" t="s">
        <v>2733</v>
      </c>
      <c r="ER88" t="s">
        <v>3228</v>
      </c>
      <c r="ES88" t="s">
        <v>3210</v>
      </c>
    </row>
    <row r="89" spans="134:149">
      <c r="ED89" t="s">
        <v>2672</v>
      </c>
      <c r="EE89" t="s">
        <v>2734</v>
      </c>
      <c r="ER89" t="s">
        <v>3229</v>
      </c>
      <c r="ES89" t="s">
        <v>3211</v>
      </c>
    </row>
    <row r="90" spans="134:149">
      <c r="ED90" t="s">
        <v>2673</v>
      </c>
      <c r="EE90" t="s">
        <v>2735</v>
      </c>
      <c r="ER90" t="s">
        <v>3230</v>
      </c>
      <c r="ES90" t="s">
        <v>3212</v>
      </c>
    </row>
    <row r="91" spans="134:149">
      <c r="ED91" t="s">
        <v>2674</v>
      </c>
      <c r="EE91" t="s">
        <v>2736</v>
      </c>
      <c r="ER91" t="s">
        <v>3526</v>
      </c>
      <c r="ES91" t="s">
        <v>3502</v>
      </c>
    </row>
    <row r="92" spans="134:149">
      <c r="ED92" t="s">
        <v>2675</v>
      </c>
      <c r="EE92" t="s">
        <v>2737</v>
      </c>
      <c r="ER92" t="s">
        <v>3527</v>
      </c>
      <c r="ES92" t="s">
        <v>3503</v>
      </c>
    </row>
    <row r="93" spans="134:149">
      <c r="ED93" t="s">
        <v>2676</v>
      </c>
      <c r="EE93" t="s">
        <v>2738</v>
      </c>
      <c r="ER93" t="s">
        <v>3528</v>
      </c>
      <c r="ES93" t="s">
        <v>3504</v>
      </c>
    </row>
    <row r="94" spans="134:149">
      <c r="ED94" t="s">
        <v>2677</v>
      </c>
      <c r="EE94" t="s">
        <v>2739</v>
      </c>
      <c r="ER94" t="s">
        <v>3529</v>
      </c>
      <c r="ES94" t="s">
        <v>3505</v>
      </c>
    </row>
    <row r="95" spans="134:149">
      <c r="ED95" t="s">
        <v>2678</v>
      </c>
      <c r="EE95" t="s">
        <v>2740</v>
      </c>
      <c r="ER95" t="s">
        <v>3530</v>
      </c>
      <c r="ES95" t="s">
        <v>3506</v>
      </c>
    </row>
    <row r="96" spans="134:149">
      <c r="ED96" t="s">
        <v>2679</v>
      </c>
      <c r="EE96" t="s">
        <v>2741</v>
      </c>
      <c r="ER96" t="s">
        <v>3531</v>
      </c>
      <c r="ES96" t="s">
        <v>3507</v>
      </c>
    </row>
    <row r="97" spans="134:149">
      <c r="ED97" t="s">
        <v>2680</v>
      </c>
      <c r="EE97" t="s">
        <v>2742</v>
      </c>
      <c r="ER97" t="s">
        <v>3293</v>
      </c>
      <c r="ES97" t="s">
        <v>3293</v>
      </c>
    </row>
    <row r="98" spans="134:149">
      <c r="ED98" t="s">
        <v>2681</v>
      </c>
      <c r="EE98" t="s">
        <v>2743</v>
      </c>
      <c r="ER98" t="s">
        <v>3294</v>
      </c>
      <c r="ES98" t="s">
        <v>3293</v>
      </c>
    </row>
    <row r="99" spans="134:149">
      <c r="ED99" t="s">
        <v>2682</v>
      </c>
      <c r="EE99" t="s">
        <v>2744</v>
      </c>
      <c r="ER99" t="s">
        <v>3295</v>
      </c>
      <c r="ES99" t="s">
        <v>3293</v>
      </c>
    </row>
    <row r="100" spans="134:149">
      <c r="ED100" t="s">
        <v>2683</v>
      </c>
      <c r="EE100" t="s">
        <v>2745</v>
      </c>
      <c r="ER100" t="s">
        <v>3296</v>
      </c>
      <c r="ES100" t="s">
        <v>3293</v>
      </c>
    </row>
    <row r="101" spans="134:149">
      <c r="ED101" t="s">
        <v>2684</v>
      </c>
      <c r="EE101" t="s">
        <v>2746</v>
      </c>
      <c r="ER101" t="s">
        <v>3291</v>
      </c>
      <c r="ES101" t="s">
        <v>3291</v>
      </c>
    </row>
    <row r="102" spans="134:149">
      <c r="ED102" t="s">
        <v>2685</v>
      </c>
      <c r="EE102" t="s">
        <v>2747</v>
      </c>
      <c r="ER102" t="s">
        <v>3297</v>
      </c>
      <c r="ES102" t="s">
        <v>3291</v>
      </c>
    </row>
    <row r="103" spans="134:149">
      <c r="ED103" t="s">
        <v>2686</v>
      </c>
      <c r="EE103" t="s">
        <v>2748</v>
      </c>
      <c r="ER103" t="s">
        <v>3298</v>
      </c>
      <c r="ES103" t="s">
        <v>3291</v>
      </c>
    </row>
    <row r="104" spans="134:149">
      <c r="ED104" t="s">
        <v>2687</v>
      </c>
      <c r="EE104" t="s">
        <v>2749</v>
      </c>
      <c r="ER104" t="s">
        <v>3299</v>
      </c>
      <c r="ES104" t="s">
        <v>3291</v>
      </c>
    </row>
    <row r="105" spans="134:149">
      <c r="ED105" t="s">
        <v>2688</v>
      </c>
      <c r="EE105" t="s">
        <v>2750</v>
      </c>
      <c r="ER105" t="s">
        <v>3292</v>
      </c>
      <c r="ES105" t="s">
        <v>3292</v>
      </c>
    </row>
    <row r="106" spans="134:149">
      <c r="ED106" t="s">
        <v>2689</v>
      </c>
      <c r="EE106" t="s">
        <v>2751</v>
      </c>
      <c r="ER106" t="s">
        <v>3300</v>
      </c>
      <c r="ES106" t="s">
        <v>3292</v>
      </c>
    </row>
    <row r="107" spans="134:149">
      <c r="ED107" t="s">
        <v>2690</v>
      </c>
      <c r="EE107" t="s">
        <v>2752</v>
      </c>
      <c r="ER107" t="s">
        <v>3301</v>
      </c>
      <c r="ES107" t="s">
        <v>3292</v>
      </c>
    </row>
    <row r="108" spans="134:149">
      <c r="ED108" t="s">
        <v>2691</v>
      </c>
      <c r="EE108" t="s">
        <v>2753</v>
      </c>
      <c r="ER108" t="s">
        <v>3302</v>
      </c>
      <c r="ES108" t="s">
        <v>3292</v>
      </c>
    </row>
    <row r="109" spans="134:149">
      <c r="ED109" t="s">
        <v>2692</v>
      </c>
      <c r="EE109" t="s">
        <v>2754</v>
      </c>
    </row>
    <row r="110" spans="134:149">
      <c r="ED110" t="s">
        <v>2693</v>
      </c>
      <c r="EE110" t="s">
        <v>2755</v>
      </c>
    </row>
    <row r="111" spans="134:149">
      <c r="ED111" t="s">
        <v>2694</v>
      </c>
      <c r="EE111" t="s">
        <v>2756</v>
      </c>
    </row>
    <row r="112" spans="134:149">
      <c r="ED112" t="s">
        <v>2695</v>
      </c>
      <c r="EE112" t="s">
        <v>2757</v>
      </c>
    </row>
    <row r="113" spans="134:135">
      <c r="ED113" t="s">
        <v>2696</v>
      </c>
      <c r="EE113" t="s">
        <v>2758</v>
      </c>
    </row>
    <row r="114" spans="134:135">
      <c r="ED114" t="s">
        <v>2697</v>
      </c>
      <c r="EE114" t="s">
        <v>2759</v>
      </c>
    </row>
    <row r="115" spans="134:135">
      <c r="ED115" t="s">
        <v>2698</v>
      </c>
      <c r="EE115" t="s">
        <v>2760</v>
      </c>
    </row>
    <row r="116" spans="134:135">
      <c r="ED116" t="s">
        <v>2699</v>
      </c>
      <c r="EE116" t="s">
        <v>2761</v>
      </c>
    </row>
    <row r="117" spans="134:135">
      <c r="ED117" t="s">
        <v>2700</v>
      </c>
      <c r="EE117" t="s">
        <v>2762</v>
      </c>
    </row>
    <row r="118" spans="134:135">
      <c r="ED118" t="s">
        <v>2701</v>
      </c>
      <c r="EE118" t="s">
        <v>2763</v>
      </c>
    </row>
    <row r="119" spans="134:135">
      <c r="ED119" t="s">
        <v>2702</v>
      </c>
      <c r="EE119" t="s">
        <v>2764</v>
      </c>
    </row>
    <row r="120" spans="134:135">
      <c r="ED120" t="s">
        <v>2703</v>
      </c>
      <c r="EE120" t="s">
        <v>2765</v>
      </c>
    </row>
    <row r="121" spans="134:135">
      <c r="ED121" t="s">
        <v>2704</v>
      </c>
      <c r="EE121" t="s">
        <v>2766</v>
      </c>
    </row>
    <row r="122" spans="134:135">
      <c r="ED122" t="s">
        <v>2705</v>
      </c>
      <c r="EE122" t="s">
        <v>2767</v>
      </c>
    </row>
    <row r="123" spans="134:135">
      <c r="ED123" t="s">
        <v>2706</v>
      </c>
      <c r="EE123" t="s">
        <v>2768</v>
      </c>
    </row>
    <row r="124" spans="134:135">
      <c r="ED124" t="s">
        <v>2707</v>
      </c>
      <c r="EE124" t="s">
        <v>2769</v>
      </c>
    </row>
    <row r="125" spans="134:135">
      <c r="ED125" t="s">
        <v>2708</v>
      </c>
      <c r="EE125" t="s">
        <v>2770</v>
      </c>
    </row>
    <row r="126" spans="134:135">
      <c r="ED126" t="s">
        <v>2709</v>
      </c>
      <c r="EE126" t="s">
        <v>2771</v>
      </c>
    </row>
    <row r="127" spans="134:135">
      <c r="ED127" t="s">
        <v>2710</v>
      </c>
      <c r="EE127" t="s">
        <v>2772</v>
      </c>
    </row>
    <row r="128" spans="134:135">
      <c r="ED128" t="s">
        <v>2711</v>
      </c>
      <c r="EE128" t="s">
        <v>2711</v>
      </c>
    </row>
    <row r="129" spans="134:135">
      <c r="ED129" t="s">
        <v>2712</v>
      </c>
      <c r="EE129" t="s">
        <v>2712</v>
      </c>
    </row>
    <row r="130" spans="134:135">
      <c r="ED130" t="s">
        <v>2713</v>
      </c>
      <c r="EE130" t="s">
        <v>2713</v>
      </c>
    </row>
    <row r="131" spans="134:135">
      <c r="ED131" t="s">
        <v>2714</v>
      </c>
      <c r="EE131" t="s">
        <v>2714</v>
      </c>
    </row>
    <row r="132" spans="134:135">
      <c r="ED132" t="s">
        <v>2715</v>
      </c>
      <c r="EE132" t="s">
        <v>2715</v>
      </c>
    </row>
    <row r="133" spans="134:135">
      <c r="ED133" t="s">
        <v>2716</v>
      </c>
      <c r="EE133" t="s">
        <v>2716</v>
      </c>
    </row>
    <row r="134" spans="134:135">
      <c r="ED134" t="s">
        <v>2717</v>
      </c>
      <c r="EE134" t="s">
        <v>2717</v>
      </c>
    </row>
    <row r="135" spans="134:135">
      <c r="ED135" t="s">
        <v>2718</v>
      </c>
      <c r="EE135" t="s">
        <v>2718</v>
      </c>
    </row>
    <row r="136" spans="134:135">
      <c r="ED136" t="s">
        <v>2719</v>
      </c>
      <c r="EE136" t="s">
        <v>2719</v>
      </c>
    </row>
    <row r="137" spans="134:135">
      <c r="ED137" t="s">
        <v>2720</v>
      </c>
      <c r="EE137" t="s">
        <v>2720</v>
      </c>
    </row>
    <row r="138" spans="134:135">
      <c r="ED138" t="s">
        <v>2721</v>
      </c>
      <c r="EE138" t="s">
        <v>2721</v>
      </c>
    </row>
    <row r="139" spans="134:135">
      <c r="ED139" t="s">
        <v>3543</v>
      </c>
      <c r="EE139" t="s">
        <v>3543</v>
      </c>
    </row>
    <row r="140" spans="134:135">
      <c r="ED140" t="s">
        <v>2722</v>
      </c>
      <c r="EE140" t="s">
        <v>2722</v>
      </c>
    </row>
    <row r="141" spans="134:135">
      <c r="ED141" t="s">
        <v>2723</v>
      </c>
      <c r="EE141" t="s">
        <v>2723</v>
      </c>
    </row>
    <row r="142" spans="134:135">
      <c r="ED142" t="s">
        <v>2724</v>
      </c>
      <c r="EE142" t="s">
        <v>2724</v>
      </c>
    </row>
    <row r="143" spans="134:135">
      <c r="ED143" t="s">
        <v>2725</v>
      </c>
      <c r="EE143" t="s">
        <v>2725</v>
      </c>
    </row>
    <row r="144" spans="134:135">
      <c r="ED144" t="s">
        <v>2726</v>
      </c>
      <c r="EE144" t="s">
        <v>2726</v>
      </c>
    </row>
    <row r="145" spans="134:135">
      <c r="ED145" t="s">
        <v>2727</v>
      </c>
      <c r="EE145" t="s">
        <v>2727</v>
      </c>
    </row>
    <row r="146" spans="134:135">
      <c r="ED146" t="s">
        <v>2728</v>
      </c>
      <c r="EE146" t="s">
        <v>2728</v>
      </c>
    </row>
    <row r="147" spans="134:135">
      <c r="ED147" t="s">
        <v>2729</v>
      </c>
      <c r="EE147" t="s">
        <v>2729</v>
      </c>
    </row>
    <row r="148" spans="134:135">
      <c r="ED148" t="s">
        <v>2730</v>
      </c>
      <c r="EE148" t="s">
        <v>2730</v>
      </c>
    </row>
    <row r="149" spans="134:135">
      <c r="ED149" t="s">
        <v>2731</v>
      </c>
      <c r="EE149" t="s">
        <v>2731</v>
      </c>
    </row>
    <row r="150" spans="134:135">
      <c r="ED150" t="s">
        <v>2732</v>
      </c>
      <c r="EE150" t="s">
        <v>2732</v>
      </c>
    </row>
    <row r="151" spans="134:135">
      <c r="ED151" t="s">
        <v>2733</v>
      </c>
      <c r="EE151" t="s">
        <v>2733</v>
      </c>
    </row>
    <row r="152" spans="134:135">
      <c r="ED152" t="s">
        <v>2734</v>
      </c>
      <c r="EE152" t="s">
        <v>2734</v>
      </c>
    </row>
    <row r="153" spans="134:135">
      <c r="ED153" t="s">
        <v>2735</v>
      </c>
      <c r="EE153" t="s">
        <v>2735</v>
      </c>
    </row>
    <row r="154" spans="134:135">
      <c r="ED154" t="s">
        <v>2736</v>
      </c>
      <c r="EE154" t="s">
        <v>2736</v>
      </c>
    </row>
    <row r="155" spans="134:135">
      <c r="ED155" t="s">
        <v>2737</v>
      </c>
      <c r="EE155" t="s">
        <v>2737</v>
      </c>
    </row>
    <row r="156" spans="134:135">
      <c r="ED156" t="s">
        <v>2738</v>
      </c>
      <c r="EE156" t="s">
        <v>2738</v>
      </c>
    </row>
    <row r="157" spans="134:135">
      <c r="ED157" t="s">
        <v>2739</v>
      </c>
      <c r="EE157" t="s">
        <v>2739</v>
      </c>
    </row>
    <row r="158" spans="134:135">
      <c r="ED158" t="s">
        <v>2740</v>
      </c>
      <c r="EE158" t="s">
        <v>2740</v>
      </c>
    </row>
    <row r="159" spans="134:135">
      <c r="ED159" t="s">
        <v>2741</v>
      </c>
      <c r="EE159" t="s">
        <v>2741</v>
      </c>
    </row>
    <row r="160" spans="134:135">
      <c r="ED160" t="s">
        <v>2742</v>
      </c>
      <c r="EE160" t="s">
        <v>2742</v>
      </c>
    </row>
    <row r="161" spans="134:135">
      <c r="ED161" t="s">
        <v>2743</v>
      </c>
      <c r="EE161" t="s">
        <v>2743</v>
      </c>
    </row>
    <row r="162" spans="134:135">
      <c r="ED162" t="s">
        <v>2744</v>
      </c>
      <c r="EE162" t="s">
        <v>2744</v>
      </c>
    </row>
    <row r="163" spans="134:135">
      <c r="ED163" t="s">
        <v>2745</v>
      </c>
      <c r="EE163" t="s">
        <v>2745</v>
      </c>
    </row>
    <row r="164" spans="134:135">
      <c r="ED164" t="s">
        <v>2746</v>
      </c>
      <c r="EE164" t="s">
        <v>2746</v>
      </c>
    </row>
    <row r="165" spans="134:135">
      <c r="ED165" t="s">
        <v>2747</v>
      </c>
      <c r="EE165" t="s">
        <v>2747</v>
      </c>
    </row>
    <row r="166" spans="134:135">
      <c r="ED166" t="s">
        <v>2748</v>
      </c>
      <c r="EE166" t="s">
        <v>2748</v>
      </c>
    </row>
    <row r="167" spans="134:135">
      <c r="ED167" t="s">
        <v>2749</v>
      </c>
      <c r="EE167" t="s">
        <v>2749</v>
      </c>
    </row>
    <row r="168" spans="134:135">
      <c r="ED168" t="s">
        <v>2750</v>
      </c>
      <c r="EE168" t="s">
        <v>2750</v>
      </c>
    </row>
    <row r="169" spans="134:135">
      <c r="ED169" t="s">
        <v>2751</v>
      </c>
      <c r="EE169" t="s">
        <v>2751</v>
      </c>
    </row>
    <row r="170" spans="134:135">
      <c r="ED170" t="s">
        <v>2752</v>
      </c>
      <c r="EE170" t="s">
        <v>2752</v>
      </c>
    </row>
    <row r="171" spans="134:135">
      <c r="ED171" t="s">
        <v>2753</v>
      </c>
      <c r="EE171" t="s">
        <v>2753</v>
      </c>
    </row>
    <row r="172" spans="134:135">
      <c r="ED172" t="s">
        <v>2754</v>
      </c>
      <c r="EE172" t="s">
        <v>2754</v>
      </c>
    </row>
    <row r="173" spans="134:135">
      <c r="ED173" t="s">
        <v>2755</v>
      </c>
      <c r="EE173" t="s">
        <v>2755</v>
      </c>
    </row>
    <row r="174" spans="134:135">
      <c r="ED174" t="s">
        <v>2756</v>
      </c>
      <c r="EE174" t="s">
        <v>2756</v>
      </c>
    </row>
    <row r="175" spans="134:135">
      <c r="ED175" t="s">
        <v>2757</v>
      </c>
      <c r="EE175" t="s">
        <v>2757</v>
      </c>
    </row>
    <row r="176" spans="134:135">
      <c r="ED176" t="s">
        <v>2758</v>
      </c>
      <c r="EE176" t="s">
        <v>2758</v>
      </c>
    </row>
    <row r="177" spans="134:135">
      <c r="ED177" t="s">
        <v>2759</v>
      </c>
      <c r="EE177" t="s">
        <v>2759</v>
      </c>
    </row>
    <row r="178" spans="134:135">
      <c r="ED178" t="s">
        <v>2760</v>
      </c>
      <c r="EE178" t="s">
        <v>2760</v>
      </c>
    </row>
    <row r="179" spans="134:135">
      <c r="ED179" t="s">
        <v>2761</v>
      </c>
      <c r="EE179" t="s">
        <v>2761</v>
      </c>
    </row>
    <row r="180" spans="134:135">
      <c r="ED180" t="s">
        <v>2762</v>
      </c>
      <c r="EE180" t="s">
        <v>2762</v>
      </c>
    </row>
    <row r="181" spans="134:135">
      <c r="ED181" t="s">
        <v>2763</v>
      </c>
      <c r="EE181" t="s">
        <v>2763</v>
      </c>
    </row>
    <row r="182" spans="134:135">
      <c r="ED182" t="s">
        <v>2764</v>
      </c>
      <c r="EE182" t="s">
        <v>2764</v>
      </c>
    </row>
    <row r="183" spans="134:135">
      <c r="ED183" t="s">
        <v>2765</v>
      </c>
      <c r="EE183" t="s">
        <v>2765</v>
      </c>
    </row>
    <row r="184" spans="134:135">
      <c r="ED184" t="s">
        <v>2766</v>
      </c>
      <c r="EE184" t="s">
        <v>2766</v>
      </c>
    </row>
    <row r="185" spans="134:135">
      <c r="ED185" t="s">
        <v>2767</v>
      </c>
      <c r="EE185" t="s">
        <v>2767</v>
      </c>
    </row>
    <row r="186" spans="134:135">
      <c r="ED186" t="s">
        <v>2768</v>
      </c>
      <c r="EE186" t="s">
        <v>2768</v>
      </c>
    </row>
    <row r="187" spans="134:135">
      <c r="ED187" t="s">
        <v>2769</v>
      </c>
      <c r="EE187" t="s">
        <v>2769</v>
      </c>
    </row>
    <row r="188" spans="134:135">
      <c r="ED188" t="s">
        <v>2770</v>
      </c>
      <c r="EE188" t="s">
        <v>2770</v>
      </c>
    </row>
    <row r="189" spans="134:135">
      <c r="ED189" t="s">
        <v>2771</v>
      </c>
      <c r="EE189" t="s">
        <v>2771</v>
      </c>
    </row>
    <row r="190" spans="134:135">
      <c r="ED190" t="s">
        <v>2772</v>
      </c>
      <c r="EE190" t="s">
        <v>2772</v>
      </c>
    </row>
    <row r="191" spans="134:135">
      <c r="ED191" t="s">
        <v>2773</v>
      </c>
      <c r="EE191" t="s">
        <v>2711</v>
      </c>
    </row>
    <row r="192" spans="134:135">
      <c r="ED192" t="s">
        <v>2774</v>
      </c>
      <c r="EE192" t="s">
        <v>2712</v>
      </c>
    </row>
    <row r="193" spans="134:135">
      <c r="ED193" t="s">
        <v>2775</v>
      </c>
      <c r="EE193" t="s">
        <v>2713</v>
      </c>
    </row>
    <row r="194" spans="134:135">
      <c r="ED194" t="s">
        <v>2776</v>
      </c>
      <c r="EE194" t="s">
        <v>2714</v>
      </c>
    </row>
    <row r="195" spans="134:135">
      <c r="ED195" t="s">
        <v>2777</v>
      </c>
      <c r="EE195" t="s">
        <v>2715</v>
      </c>
    </row>
    <row r="196" spans="134:135">
      <c r="ED196" t="s">
        <v>2778</v>
      </c>
      <c r="EE196" t="s">
        <v>2716</v>
      </c>
    </row>
    <row r="197" spans="134:135">
      <c r="ED197" t="s">
        <v>2779</v>
      </c>
      <c r="EE197" t="s">
        <v>2717</v>
      </c>
    </row>
    <row r="198" spans="134:135">
      <c r="ED198" t="s">
        <v>2780</v>
      </c>
      <c r="EE198" t="s">
        <v>2718</v>
      </c>
    </row>
    <row r="199" spans="134:135">
      <c r="ED199" t="s">
        <v>2781</v>
      </c>
      <c r="EE199" t="s">
        <v>2719</v>
      </c>
    </row>
    <row r="200" spans="134:135">
      <c r="ED200" t="s">
        <v>2782</v>
      </c>
      <c r="EE200" t="s">
        <v>2720</v>
      </c>
    </row>
    <row r="201" spans="134:135">
      <c r="ED201" t="s">
        <v>2783</v>
      </c>
      <c r="EE201" t="s">
        <v>2721</v>
      </c>
    </row>
    <row r="202" spans="134:135">
      <c r="ED202" t="s">
        <v>2784</v>
      </c>
      <c r="EE202" t="s">
        <v>3543</v>
      </c>
    </row>
    <row r="203" spans="134:135">
      <c r="ED203" t="s">
        <v>2785</v>
      </c>
      <c r="EE203" t="s">
        <v>2722</v>
      </c>
    </row>
    <row r="204" spans="134:135">
      <c r="ED204" t="s">
        <v>2786</v>
      </c>
      <c r="EE204" t="s">
        <v>2723</v>
      </c>
    </row>
    <row r="205" spans="134:135">
      <c r="ED205" t="s">
        <v>2787</v>
      </c>
      <c r="EE205" t="s">
        <v>2724</v>
      </c>
    </row>
    <row r="206" spans="134:135">
      <c r="ED206" t="s">
        <v>2788</v>
      </c>
      <c r="EE206" t="s">
        <v>2725</v>
      </c>
    </row>
    <row r="207" spans="134:135">
      <c r="ED207" t="s">
        <v>2789</v>
      </c>
      <c r="EE207" t="s">
        <v>2726</v>
      </c>
    </row>
    <row r="208" spans="134:135">
      <c r="ED208" t="s">
        <v>2790</v>
      </c>
      <c r="EE208" t="s">
        <v>2727</v>
      </c>
    </row>
    <row r="209" spans="124:135">
      <c r="ED209" t="s">
        <v>2791</v>
      </c>
      <c r="EE209" t="s">
        <v>2728</v>
      </c>
    </row>
    <row r="210" spans="124:135">
      <c r="ED210" t="s">
        <v>2792</v>
      </c>
      <c r="EE210" t="s">
        <v>2729</v>
      </c>
    </row>
    <row r="211" spans="124:135">
      <c r="ED211" t="s">
        <v>2793</v>
      </c>
      <c r="EE211" t="s">
        <v>2730</v>
      </c>
    </row>
    <row r="212" spans="124:135">
      <c r="ED212" t="s">
        <v>2794</v>
      </c>
      <c r="EE212" t="s">
        <v>2731</v>
      </c>
    </row>
    <row r="213" spans="124:135">
      <c r="ED213" t="s">
        <v>2795</v>
      </c>
      <c r="EE213" t="s">
        <v>2732</v>
      </c>
    </row>
    <row r="214" spans="124:135">
      <c r="ED214" t="s">
        <v>2796</v>
      </c>
      <c r="EE214" t="s">
        <v>2733</v>
      </c>
    </row>
    <row r="215" spans="124:135">
      <c r="ED215" t="s">
        <v>2797</v>
      </c>
      <c r="EE215" t="s">
        <v>2734</v>
      </c>
    </row>
    <row r="216" spans="124:135">
      <c r="ED216" t="s">
        <v>2798</v>
      </c>
      <c r="EE216" t="s">
        <v>2735</v>
      </c>
    </row>
    <row r="217" spans="124:135">
      <c r="ED217" t="s">
        <v>2799</v>
      </c>
      <c r="EE217" t="s">
        <v>2736</v>
      </c>
    </row>
    <row r="218" spans="124:135">
      <c r="ED218" t="s">
        <v>2800</v>
      </c>
      <c r="EE218" t="s">
        <v>2737</v>
      </c>
    </row>
    <row r="219" spans="124:135">
      <c r="ED219" t="s">
        <v>2801</v>
      </c>
      <c r="EE219" t="s">
        <v>2738</v>
      </c>
    </row>
    <row r="220" spans="124:135">
      <c r="ED220" t="s">
        <v>2802</v>
      </c>
      <c r="EE220" t="s">
        <v>2739</v>
      </c>
    </row>
    <row r="221" spans="124:135">
      <c r="ED221" t="s">
        <v>2803</v>
      </c>
      <c r="EE221" t="s">
        <v>2740</v>
      </c>
    </row>
    <row r="222" spans="124:135">
      <c r="DT222" s="338"/>
      <c r="ED222" t="s">
        <v>2804</v>
      </c>
      <c r="EE222" t="s">
        <v>2741</v>
      </c>
    </row>
    <row r="223" spans="124:135">
      <c r="DT223" s="338"/>
      <c r="ED223" t="s">
        <v>2805</v>
      </c>
      <c r="EE223" t="s">
        <v>2742</v>
      </c>
    </row>
    <row r="224" spans="124:135">
      <c r="DT224" s="338"/>
      <c r="ED224" t="s">
        <v>2806</v>
      </c>
      <c r="EE224" t="s">
        <v>2743</v>
      </c>
    </row>
    <row r="225" spans="124:135">
      <c r="DT225" s="338"/>
      <c r="ED225" t="s">
        <v>2807</v>
      </c>
      <c r="EE225" t="s">
        <v>2744</v>
      </c>
    </row>
    <row r="226" spans="124:135">
      <c r="DT226" s="366"/>
      <c r="ED226" t="s">
        <v>2808</v>
      </c>
      <c r="EE226" t="s">
        <v>2745</v>
      </c>
    </row>
    <row r="227" spans="124:135">
      <c r="DT227" s="366"/>
      <c r="ED227" t="s">
        <v>2809</v>
      </c>
      <c r="EE227" t="s">
        <v>2746</v>
      </c>
    </row>
    <row r="228" spans="124:135">
      <c r="DT228" s="366"/>
      <c r="ED228" t="s">
        <v>2810</v>
      </c>
      <c r="EE228" t="s">
        <v>2747</v>
      </c>
    </row>
    <row r="229" spans="124:135">
      <c r="DT229" s="366"/>
      <c r="ED229" t="s">
        <v>2811</v>
      </c>
      <c r="EE229" t="s">
        <v>2748</v>
      </c>
    </row>
    <row r="230" spans="124:135">
      <c r="DT230" s="365"/>
      <c r="ED230" t="s">
        <v>2812</v>
      </c>
      <c r="EE230" t="s">
        <v>2749</v>
      </c>
    </row>
    <row r="231" spans="124:135">
      <c r="DT231" s="365"/>
      <c r="ED231" t="s">
        <v>2813</v>
      </c>
      <c r="EE231" t="s">
        <v>2750</v>
      </c>
    </row>
    <row r="232" spans="124:135">
      <c r="DT232" s="365"/>
      <c r="ED232" t="s">
        <v>2814</v>
      </c>
      <c r="EE232" t="s">
        <v>2751</v>
      </c>
    </row>
    <row r="233" spans="124:135">
      <c r="DT233" s="365"/>
      <c r="ED233" t="s">
        <v>2815</v>
      </c>
      <c r="EE233" t="s">
        <v>2752</v>
      </c>
    </row>
    <row r="234" spans="124:135">
      <c r="DT234" s="168"/>
      <c r="ED234" t="s">
        <v>2816</v>
      </c>
      <c r="EE234" t="s">
        <v>2753</v>
      </c>
    </row>
    <row r="235" spans="124:135">
      <c r="DT235" s="168"/>
      <c r="ED235" t="s">
        <v>2817</v>
      </c>
      <c r="EE235" t="s">
        <v>2754</v>
      </c>
    </row>
    <row r="236" spans="124:135">
      <c r="DT236" s="168"/>
      <c r="ED236" t="s">
        <v>2818</v>
      </c>
      <c r="EE236" t="s">
        <v>2755</v>
      </c>
    </row>
    <row r="237" spans="124:135">
      <c r="DT237" s="168"/>
      <c r="ED237" t="s">
        <v>2819</v>
      </c>
      <c r="EE237" t="s">
        <v>2756</v>
      </c>
    </row>
    <row r="238" spans="124:135">
      <c r="DT238" s="365"/>
      <c r="ED238" t="s">
        <v>2820</v>
      </c>
      <c r="EE238" t="s">
        <v>2757</v>
      </c>
    </row>
    <row r="239" spans="124:135">
      <c r="DT239" s="365"/>
      <c r="ED239" t="s">
        <v>2821</v>
      </c>
      <c r="EE239" t="s">
        <v>2758</v>
      </c>
    </row>
    <row r="240" spans="124:135">
      <c r="DT240" s="365"/>
      <c r="ED240" t="s">
        <v>2822</v>
      </c>
      <c r="EE240" t="s">
        <v>2759</v>
      </c>
    </row>
    <row r="241" spans="124:135">
      <c r="DT241" s="365"/>
      <c r="ED241" t="s">
        <v>2823</v>
      </c>
      <c r="EE241" t="s">
        <v>2760</v>
      </c>
    </row>
    <row r="242" spans="124:135">
      <c r="DT242" s="351"/>
      <c r="ED242" t="s">
        <v>2824</v>
      </c>
      <c r="EE242" t="s">
        <v>2761</v>
      </c>
    </row>
    <row r="243" spans="124:135">
      <c r="ED243" t="s">
        <v>2825</v>
      </c>
      <c r="EE243" t="s">
        <v>2762</v>
      </c>
    </row>
    <row r="244" spans="124:135">
      <c r="DT244" s="351"/>
      <c r="ED244" t="s">
        <v>2826</v>
      </c>
      <c r="EE244" t="s">
        <v>2763</v>
      </c>
    </row>
    <row r="245" spans="124:135">
      <c r="DT245" s="351"/>
      <c r="ED245" t="s">
        <v>2827</v>
      </c>
      <c r="EE245" t="s">
        <v>2764</v>
      </c>
    </row>
    <row r="246" spans="124:135">
      <c r="DT246" s="351"/>
      <c r="ED246" t="s">
        <v>2828</v>
      </c>
      <c r="EE246" t="s">
        <v>2765</v>
      </c>
    </row>
    <row r="247" spans="124:135">
      <c r="DT247" s="387"/>
      <c r="ED247" t="s">
        <v>2829</v>
      </c>
      <c r="EE247" t="s">
        <v>2766</v>
      </c>
    </row>
    <row r="248" spans="124:135">
      <c r="DT248" s="387"/>
      <c r="ED248" t="s">
        <v>2830</v>
      </c>
      <c r="EE248" t="s">
        <v>2767</v>
      </c>
    </row>
    <row r="249" spans="124:135">
      <c r="DT249" s="387"/>
      <c r="ED249" t="s">
        <v>2831</v>
      </c>
      <c r="EE249" t="s">
        <v>2768</v>
      </c>
    </row>
    <row r="250" spans="124:135">
      <c r="DT250" s="387"/>
      <c r="ED250" t="s">
        <v>2832</v>
      </c>
      <c r="EE250" t="s">
        <v>2769</v>
      </c>
    </row>
    <row r="251" spans="124:135">
      <c r="DT251" s="387"/>
      <c r="ED251" t="s">
        <v>2833</v>
      </c>
      <c r="EE251" t="s">
        <v>2770</v>
      </c>
    </row>
    <row r="252" spans="124:135">
      <c r="DT252" s="387"/>
      <c r="ED252" t="s">
        <v>2834</v>
      </c>
      <c r="EE252" t="s">
        <v>2771</v>
      </c>
    </row>
    <row r="253" spans="124:135">
      <c r="DT253" s="387"/>
      <c r="ED253" t="s">
        <v>2835</v>
      </c>
      <c r="EE253" t="s">
        <v>2772</v>
      </c>
    </row>
    <row r="254" spans="124:135">
      <c r="DT254" s="387"/>
      <c r="ED254" t="s">
        <v>2836</v>
      </c>
      <c r="EE254" t="s">
        <v>2711</v>
      </c>
    </row>
    <row r="255" spans="124:135">
      <c r="DT255" s="387"/>
      <c r="ED255" t="s">
        <v>2837</v>
      </c>
      <c r="EE255" t="s">
        <v>2712</v>
      </c>
    </row>
    <row r="256" spans="124:135">
      <c r="DT256" s="387"/>
      <c r="ED256" t="s">
        <v>2838</v>
      </c>
      <c r="EE256" t="s">
        <v>2713</v>
      </c>
    </row>
    <row r="257" spans="118:135">
      <c r="ED257" t="s">
        <v>2839</v>
      </c>
      <c r="EE257" t="s">
        <v>2714</v>
      </c>
    </row>
    <row r="258" spans="118:135">
      <c r="ED258" t="s">
        <v>2840</v>
      </c>
      <c r="EE258" t="s">
        <v>2715</v>
      </c>
    </row>
    <row r="259" spans="118:135">
      <c r="DN259" s="351"/>
      <c r="ED259" t="s">
        <v>2841</v>
      </c>
      <c r="EE259" t="s">
        <v>2716</v>
      </c>
    </row>
    <row r="260" spans="118:135">
      <c r="ED260" t="s">
        <v>2842</v>
      </c>
      <c r="EE260" t="s">
        <v>2717</v>
      </c>
    </row>
    <row r="261" spans="118:135">
      <c r="ED261" t="s">
        <v>2843</v>
      </c>
      <c r="EE261" t="s">
        <v>2718</v>
      </c>
    </row>
    <row r="262" spans="118:135">
      <c r="ED262" t="s">
        <v>2844</v>
      </c>
      <c r="EE262" t="s">
        <v>2719</v>
      </c>
    </row>
    <row r="263" spans="118:135">
      <c r="ED263" t="s">
        <v>2845</v>
      </c>
      <c r="EE263" t="s">
        <v>2720</v>
      </c>
    </row>
    <row r="264" spans="118:135">
      <c r="ED264" t="s">
        <v>2846</v>
      </c>
      <c r="EE264" t="s">
        <v>2721</v>
      </c>
    </row>
    <row r="265" spans="118:135">
      <c r="ED265" t="s">
        <v>2847</v>
      </c>
      <c r="EE265" t="s">
        <v>3543</v>
      </c>
    </row>
    <row r="266" spans="118:135">
      <c r="ED266" t="s">
        <v>2848</v>
      </c>
      <c r="EE266" t="s">
        <v>2722</v>
      </c>
    </row>
    <row r="267" spans="118:135">
      <c r="ED267" t="s">
        <v>2849</v>
      </c>
      <c r="EE267" t="s">
        <v>2723</v>
      </c>
    </row>
    <row r="268" spans="118:135">
      <c r="ED268" t="s">
        <v>2850</v>
      </c>
      <c r="EE268" t="s">
        <v>2724</v>
      </c>
    </row>
    <row r="269" spans="118:135">
      <c r="ED269" t="s">
        <v>2851</v>
      </c>
      <c r="EE269" t="s">
        <v>2725</v>
      </c>
    </row>
    <row r="270" spans="118:135">
      <c r="ED270" t="s">
        <v>2852</v>
      </c>
      <c r="EE270" t="s">
        <v>2726</v>
      </c>
    </row>
    <row r="271" spans="118:135">
      <c r="ED271" t="s">
        <v>2853</v>
      </c>
      <c r="EE271" t="s">
        <v>2727</v>
      </c>
    </row>
    <row r="272" spans="118:135">
      <c r="ED272" t="s">
        <v>2854</v>
      </c>
      <c r="EE272" t="s">
        <v>2728</v>
      </c>
    </row>
    <row r="273" spans="127:135">
      <c r="DW273" s="286"/>
      <c r="ED273" t="s">
        <v>2855</v>
      </c>
      <c r="EE273" t="s">
        <v>2729</v>
      </c>
    </row>
    <row r="274" spans="127:135">
      <c r="ED274" t="s">
        <v>2856</v>
      </c>
      <c r="EE274" t="s">
        <v>2730</v>
      </c>
    </row>
    <row r="275" spans="127:135">
      <c r="ED275" t="s">
        <v>2857</v>
      </c>
      <c r="EE275" t="s">
        <v>2731</v>
      </c>
    </row>
    <row r="276" spans="127:135">
      <c r="ED276" t="s">
        <v>2858</v>
      </c>
      <c r="EE276" t="s">
        <v>2732</v>
      </c>
    </row>
    <row r="277" spans="127:135">
      <c r="ED277" t="s">
        <v>2859</v>
      </c>
      <c r="EE277" t="s">
        <v>2733</v>
      </c>
    </row>
    <row r="278" spans="127:135">
      <c r="ED278" t="s">
        <v>2860</v>
      </c>
      <c r="EE278" t="s">
        <v>2734</v>
      </c>
    </row>
    <row r="279" spans="127:135">
      <c r="ED279" t="s">
        <v>2861</v>
      </c>
      <c r="EE279" t="s">
        <v>2735</v>
      </c>
    </row>
    <row r="280" spans="127:135">
      <c r="ED280" t="s">
        <v>2862</v>
      </c>
      <c r="EE280" t="s">
        <v>2736</v>
      </c>
    </row>
    <row r="281" spans="127:135">
      <c r="ED281" t="s">
        <v>2863</v>
      </c>
      <c r="EE281" t="s">
        <v>2737</v>
      </c>
    </row>
    <row r="282" spans="127:135">
      <c r="ED282" t="s">
        <v>2864</v>
      </c>
      <c r="EE282" t="s">
        <v>2738</v>
      </c>
    </row>
    <row r="283" spans="127:135">
      <c r="ED283" t="s">
        <v>2865</v>
      </c>
      <c r="EE283" t="s">
        <v>2739</v>
      </c>
    </row>
    <row r="284" spans="127:135">
      <c r="ED284" t="s">
        <v>2866</v>
      </c>
      <c r="EE284" t="s">
        <v>2740</v>
      </c>
    </row>
    <row r="285" spans="127:135">
      <c r="ED285" t="s">
        <v>2867</v>
      </c>
      <c r="EE285" t="s">
        <v>2741</v>
      </c>
    </row>
    <row r="286" spans="127:135">
      <c r="ED286" t="s">
        <v>2868</v>
      </c>
      <c r="EE286" t="s">
        <v>2742</v>
      </c>
    </row>
    <row r="287" spans="127:135">
      <c r="ED287" t="s">
        <v>2869</v>
      </c>
      <c r="EE287" t="s">
        <v>2743</v>
      </c>
    </row>
    <row r="288" spans="127:135">
      <c r="ED288" t="s">
        <v>2870</v>
      </c>
      <c r="EE288" t="s">
        <v>2744</v>
      </c>
    </row>
    <row r="289" spans="124:135">
      <c r="ED289" t="s">
        <v>2871</v>
      </c>
      <c r="EE289" t="s">
        <v>2745</v>
      </c>
    </row>
    <row r="290" spans="124:135">
      <c r="ED290" t="s">
        <v>2872</v>
      </c>
      <c r="EE290" t="s">
        <v>2746</v>
      </c>
    </row>
    <row r="291" spans="124:135">
      <c r="ED291" t="s">
        <v>2873</v>
      </c>
      <c r="EE291" t="s">
        <v>2747</v>
      </c>
    </row>
    <row r="292" spans="124:135">
      <c r="DT292" s="338"/>
      <c r="DU292" s="365"/>
      <c r="ED292" t="s">
        <v>2874</v>
      </c>
      <c r="EE292" t="s">
        <v>2748</v>
      </c>
    </row>
    <row r="293" spans="124:135">
      <c r="DT293" s="338"/>
      <c r="DU293" s="365"/>
      <c r="ED293" t="s">
        <v>2875</v>
      </c>
      <c r="EE293" t="s">
        <v>2749</v>
      </c>
    </row>
    <row r="294" spans="124:135">
      <c r="DT294" s="338"/>
      <c r="DU294" s="365"/>
      <c r="ED294" t="s">
        <v>2876</v>
      </c>
      <c r="EE294" t="s">
        <v>2750</v>
      </c>
    </row>
    <row r="295" spans="124:135">
      <c r="DT295" s="338"/>
      <c r="DU295" s="365"/>
      <c r="ED295" t="s">
        <v>2877</v>
      </c>
      <c r="EE295" t="s">
        <v>2751</v>
      </c>
    </row>
    <row r="296" spans="124:135">
      <c r="DT296" s="366"/>
      <c r="DU296" s="365"/>
      <c r="ED296" t="s">
        <v>2878</v>
      </c>
      <c r="EE296" t="s">
        <v>2752</v>
      </c>
    </row>
    <row r="297" spans="124:135">
      <c r="DT297" s="366"/>
      <c r="DU297" s="365"/>
      <c r="ED297" t="s">
        <v>2879</v>
      </c>
      <c r="EE297" t="s">
        <v>2753</v>
      </c>
    </row>
    <row r="298" spans="124:135">
      <c r="DT298" s="366"/>
      <c r="DU298" s="365"/>
      <c r="ED298" t="s">
        <v>2880</v>
      </c>
      <c r="EE298" t="s">
        <v>2754</v>
      </c>
    </row>
    <row r="299" spans="124:135">
      <c r="DT299" s="366"/>
      <c r="DU299" s="365"/>
      <c r="ED299" t="s">
        <v>2881</v>
      </c>
      <c r="EE299" t="s">
        <v>2755</v>
      </c>
    </row>
    <row r="300" spans="124:135">
      <c r="DT300" s="365"/>
      <c r="DU300" s="365"/>
      <c r="ED300" t="s">
        <v>2882</v>
      </c>
      <c r="EE300" t="s">
        <v>2756</v>
      </c>
    </row>
    <row r="301" spans="124:135">
      <c r="DT301" s="365"/>
      <c r="DU301" s="365"/>
      <c r="ED301" t="s">
        <v>2883</v>
      </c>
      <c r="EE301" t="s">
        <v>2757</v>
      </c>
    </row>
    <row r="302" spans="124:135">
      <c r="DT302" s="365"/>
      <c r="DU302" s="365"/>
      <c r="ED302" t="s">
        <v>2884</v>
      </c>
      <c r="EE302" t="s">
        <v>2758</v>
      </c>
    </row>
    <row r="303" spans="124:135">
      <c r="DT303" s="365"/>
      <c r="DU303" s="365"/>
      <c r="ED303" t="s">
        <v>2885</v>
      </c>
      <c r="EE303" t="s">
        <v>2759</v>
      </c>
    </row>
    <row r="304" spans="124:135">
      <c r="DT304" s="168"/>
      <c r="DU304" s="365"/>
      <c r="ED304" t="s">
        <v>2886</v>
      </c>
      <c r="EE304" t="s">
        <v>2760</v>
      </c>
    </row>
    <row r="305" spans="124:135">
      <c r="DT305" s="168"/>
      <c r="DU305" s="365"/>
      <c r="ED305" t="s">
        <v>2887</v>
      </c>
      <c r="EE305" t="s">
        <v>2761</v>
      </c>
    </row>
    <row r="306" spans="124:135">
      <c r="DT306" s="168"/>
      <c r="DU306" s="365"/>
      <c r="ED306" t="s">
        <v>2888</v>
      </c>
      <c r="EE306" t="s">
        <v>2762</v>
      </c>
    </row>
    <row r="307" spans="124:135">
      <c r="DT307" s="168"/>
      <c r="DU307" s="365"/>
      <c r="ED307" t="s">
        <v>2889</v>
      </c>
      <c r="EE307" t="s">
        <v>2763</v>
      </c>
    </row>
    <row r="308" spans="124:135">
      <c r="DT308" s="365"/>
      <c r="DU308" s="365"/>
      <c r="ED308" t="s">
        <v>2890</v>
      </c>
      <c r="EE308" t="s">
        <v>2764</v>
      </c>
    </row>
    <row r="309" spans="124:135">
      <c r="DT309" s="365"/>
      <c r="DU309" s="365"/>
      <c r="ED309" t="s">
        <v>2891</v>
      </c>
      <c r="EE309" t="s">
        <v>2765</v>
      </c>
    </row>
    <row r="310" spans="124:135">
      <c r="DT310" s="365"/>
      <c r="DU310" s="365"/>
      <c r="ED310" t="s">
        <v>2892</v>
      </c>
      <c r="EE310" t="s">
        <v>2766</v>
      </c>
    </row>
    <row r="311" spans="124:135">
      <c r="DT311" s="365"/>
      <c r="DU311" s="365"/>
      <c r="ED311" t="s">
        <v>2893</v>
      </c>
      <c r="EE311" t="s">
        <v>2767</v>
      </c>
    </row>
    <row r="312" spans="124:135">
      <c r="DT312" s="387"/>
      <c r="DU312" s="387"/>
      <c r="ED312" t="s">
        <v>2894</v>
      </c>
      <c r="EE312" t="s">
        <v>2768</v>
      </c>
    </row>
    <row r="313" spans="124:135">
      <c r="DT313" s="387"/>
      <c r="DU313" s="387"/>
      <c r="ED313" t="s">
        <v>2895</v>
      </c>
      <c r="EE313" t="s">
        <v>2769</v>
      </c>
    </row>
    <row r="314" spans="124:135">
      <c r="DT314" s="387"/>
      <c r="DU314" s="387"/>
      <c r="ED314" t="s">
        <v>2896</v>
      </c>
      <c r="EE314" t="s">
        <v>2770</v>
      </c>
    </row>
    <row r="315" spans="124:135">
      <c r="DT315" s="387"/>
      <c r="DU315" s="387"/>
      <c r="ED315" t="s">
        <v>2897</v>
      </c>
      <c r="EE315" t="s">
        <v>2771</v>
      </c>
    </row>
    <row r="316" spans="124:135">
      <c r="ED316" t="s">
        <v>2898</v>
      </c>
      <c r="EE316" t="s">
        <v>2772</v>
      </c>
    </row>
    <row r="317" spans="124:135">
      <c r="ED317" t="s">
        <v>3538</v>
      </c>
      <c r="EE317" t="s">
        <v>4050</v>
      </c>
    </row>
    <row r="318" spans="124:135">
      <c r="ED318" t="s">
        <v>3539</v>
      </c>
      <c r="EE318" t="s">
        <v>4051</v>
      </c>
    </row>
    <row r="319" spans="124:135">
      <c r="ED319" t="s">
        <v>3549</v>
      </c>
      <c r="EE319" t="s">
        <v>4050</v>
      </c>
    </row>
    <row r="320" spans="124:135">
      <c r="ED320" t="s">
        <v>3550</v>
      </c>
      <c r="EE320" t="s">
        <v>4051</v>
      </c>
    </row>
    <row r="321" spans="134:135">
      <c r="ED321" t="s">
        <v>3548</v>
      </c>
      <c r="EE321" t="s">
        <v>4050</v>
      </c>
    </row>
    <row r="322" spans="134:135">
      <c r="ED322" t="s">
        <v>3553</v>
      </c>
      <c r="EE322" t="s">
        <v>4051</v>
      </c>
    </row>
    <row r="323" spans="134:135">
      <c r="ED323" t="s">
        <v>3551</v>
      </c>
      <c r="EE323" t="s">
        <v>4050</v>
      </c>
    </row>
    <row r="324" spans="134:135">
      <c r="ED324" t="s">
        <v>3554</v>
      </c>
      <c r="EE324" t="s">
        <v>4051</v>
      </c>
    </row>
    <row r="325" spans="134:135">
      <c r="ED325" t="s">
        <v>3552</v>
      </c>
      <c r="EE325" t="s">
        <v>4050</v>
      </c>
    </row>
    <row r="326" spans="134:135">
      <c r="ED326" t="s">
        <v>3555</v>
      </c>
      <c r="EE326" t="s">
        <v>4051</v>
      </c>
    </row>
    <row r="327" spans="134:135">
      <c r="ED327" t="s">
        <v>3585</v>
      </c>
      <c r="EE327" t="s">
        <v>3588</v>
      </c>
    </row>
    <row r="328" spans="134:135">
      <c r="ED328" t="s">
        <v>3586</v>
      </c>
      <c r="EE328" t="s">
        <v>3589</v>
      </c>
    </row>
    <row r="329" spans="134:135">
      <c r="ED329" t="s">
        <v>3570</v>
      </c>
      <c r="EE329" t="s">
        <v>3588</v>
      </c>
    </row>
    <row r="330" spans="134:135">
      <c r="ED330" t="s">
        <v>3571</v>
      </c>
      <c r="EE330" t="s">
        <v>3589</v>
      </c>
    </row>
    <row r="331" spans="134:135">
      <c r="ED331" s="286" t="s">
        <v>3590</v>
      </c>
      <c r="EE331" t="s">
        <v>3588</v>
      </c>
    </row>
    <row r="332" spans="134:135">
      <c r="ED332" t="s">
        <v>3591</v>
      </c>
      <c r="EE332" t="s">
        <v>3589</v>
      </c>
    </row>
    <row r="333" spans="134:135">
      <c r="ED333" t="s">
        <v>3689</v>
      </c>
      <c r="EE333" t="s">
        <v>3690</v>
      </c>
    </row>
    <row r="334" spans="134:135">
      <c r="ED334" t="s">
        <v>3691</v>
      </c>
      <c r="EE334" t="s">
        <v>3692</v>
      </c>
    </row>
    <row r="335" spans="134:135">
      <c r="ED335" t="s">
        <v>3693</v>
      </c>
      <c r="EE335" t="s">
        <v>3694</v>
      </c>
    </row>
    <row r="336" spans="134:135">
      <c r="ED336" t="s">
        <v>3695</v>
      </c>
      <c r="EE336" t="s">
        <v>3696</v>
      </c>
    </row>
    <row r="337" spans="134:135">
      <c r="ED337" t="s">
        <v>3697</v>
      </c>
      <c r="EE337" t="s">
        <v>3698</v>
      </c>
    </row>
    <row r="338" spans="134:135">
      <c r="ED338" t="s">
        <v>3699</v>
      </c>
      <c r="EE338" t="s">
        <v>3700</v>
      </c>
    </row>
    <row r="339" spans="134:135">
      <c r="ED339" t="s">
        <v>3701</v>
      </c>
      <c r="EE339" t="s">
        <v>3702</v>
      </c>
    </row>
    <row r="340" spans="134:135">
      <c r="ED340" t="s">
        <v>3703</v>
      </c>
      <c r="EE340" t="s">
        <v>3704</v>
      </c>
    </row>
    <row r="341" spans="134:135">
      <c r="ED341" t="s">
        <v>3705</v>
      </c>
      <c r="EE341" t="s">
        <v>3706</v>
      </c>
    </row>
    <row r="342" spans="134:135">
      <c r="ED342" t="s">
        <v>3707</v>
      </c>
      <c r="EE342" t="s">
        <v>3708</v>
      </c>
    </row>
    <row r="343" spans="134:135">
      <c r="ED343" t="s">
        <v>3709</v>
      </c>
      <c r="EE343" t="s">
        <v>3710</v>
      </c>
    </row>
    <row r="344" spans="134:135">
      <c r="ED344" t="s">
        <v>3711</v>
      </c>
      <c r="EE344" t="s">
        <v>3712</v>
      </c>
    </row>
    <row r="345" spans="134:135">
      <c r="ED345" t="s">
        <v>3713</v>
      </c>
      <c r="EE345" t="s">
        <v>3714</v>
      </c>
    </row>
    <row r="346" spans="134:135">
      <c r="ED346" t="s">
        <v>3715</v>
      </c>
      <c r="EE346" t="s">
        <v>3716</v>
      </c>
    </row>
    <row r="347" spans="134:135">
      <c r="ED347" t="s">
        <v>3717</v>
      </c>
      <c r="EE347" t="s">
        <v>3718</v>
      </c>
    </row>
    <row r="348" spans="134:135">
      <c r="ED348" t="s">
        <v>3719</v>
      </c>
      <c r="EE348" t="s">
        <v>3720</v>
      </c>
    </row>
    <row r="349" spans="134:135">
      <c r="ED349" t="s">
        <v>3721</v>
      </c>
      <c r="EE349" t="s">
        <v>3722</v>
      </c>
    </row>
    <row r="350" spans="134:135">
      <c r="ED350" t="s">
        <v>3723</v>
      </c>
      <c r="EE350" t="s">
        <v>3724</v>
      </c>
    </row>
    <row r="351" spans="134:135">
      <c r="ED351" t="s">
        <v>3725</v>
      </c>
      <c r="EE351" t="s">
        <v>3726</v>
      </c>
    </row>
    <row r="352" spans="134:135">
      <c r="ED352" t="s">
        <v>3145</v>
      </c>
      <c r="EE352" t="s">
        <v>3727</v>
      </c>
    </row>
    <row r="353" spans="127:135">
      <c r="DW353" s="338"/>
      <c r="ED353" t="s">
        <v>3728</v>
      </c>
      <c r="EE353" t="s">
        <v>3729</v>
      </c>
    </row>
    <row r="354" spans="127:135">
      <c r="DW354" s="338"/>
      <c r="ED354" t="s">
        <v>3730</v>
      </c>
      <c r="EE354" t="s">
        <v>3731</v>
      </c>
    </row>
    <row r="355" spans="127:135">
      <c r="DW355" s="338"/>
      <c r="ED355" t="s">
        <v>3732</v>
      </c>
      <c r="EE355" t="s">
        <v>3733</v>
      </c>
    </row>
    <row r="356" spans="127:135">
      <c r="DW356" s="338"/>
      <c r="ED356" t="s">
        <v>3734</v>
      </c>
      <c r="EE356" t="s">
        <v>3735</v>
      </c>
    </row>
    <row r="357" spans="127:135">
      <c r="DW357" s="338"/>
      <c r="ED357" t="s">
        <v>3736</v>
      </c>
      <c r="EE357" t="s">
        <v>3737</v>
      </c>
    </row>
    <row r="358" spans="127:135">
      <c r="DW358" s="338"/>
      <c r="ED358" t="s">
        <v>3738</v>
      </c>
      <c r="EE358" t="s">
        <v>3739</v>
      </c>
    </row>
    <row r="359" spans="127:135">
      <c r="DW359" s="168"/>
      <c r="ED359" t="s">
        <v>3740</v>
      </c>
      <c r="EE359" t="s">
        <v>3741</v>
      </c>
    </row>
    <row r="360" spans="127:135">
      <c r="DW360" s="338"/>
      <c r="ED360" t="s">
        <v>3742</v>
      </c>
      <c r="EE360" t="s">
        <v>3743</v>
      </c>
    </row>
    <row r="361" spans="127:135">
      <c r="DW361" s="338"/>
      <c r="ED361" t="s">
        <v>3744</v>
      </c>
      <c r="EE361" t="s">
        <v>3745</v>
      </c>
    </row>
    <row r="362" spans="127:135">
      <c r="DW362" s="338"/>
      <c r="ED362" t="s">
        <v>3746</v>
      </c>
      <c r="EE362" t="s">
        <v>3747</v>
      </c>
    </row>
    <row r="363" spans="127:135">
      <c r="DW363" s="338"/>
      <c r="ED363" t="s">
        <v>3748</v>
      </c>
      <c r="EE363" t="s">
        <v>3749</v>
      </c>
    </row>
    <row r="364" spans="127:135">
      <c r="ED364" t="s">
        <v>3750</v>
      </c>
      <c r="EE364" t="s">
        <v>3751</v>
      </c>
    </row>
    <row r="365" spans="127:135">
      <c r="ED365" t="s">
        <v>3752</v>
      </c>
      <c r="EE365" t="s">
        <v>3753</v>
      </c>
    </row>
    <row r="366" spans="127:135">
      <c r="ED366" t="s">
        <v>3754</v>
      </c>
      <c r="EE366" t="s">
        <v>3755</v>
      </c>
    </row>
    <row r="367" spans="127:135">
      <c r="ED367" t="s">
        <v>3756</v>
      </c>
      <c r="EE367" t="s">
        <v>3757</v>
      </c>
    </row>
    <row r="368" spans="127:135">
      <c r="ED368" t="s">
        <v>3758</v>
      </c>
      <c r="EE368" t="s">
        <v>3759</v>
      </c>
    </row>
    <row r="369" spans="134:135">
      <c r="ED369" t="s">
        <v>3760</v>
      </c>
      <c r="EE369" t="s">
        <v>3761</v>
      </c>
    </row>
    <row r="370" spans="134:135">
      <c r="ED370" t="s">
        <v>3762</v>
      </c>
      <c r="EE370" t="s">
        <v>3763</v>
      </c>
    </row>
    <row r="371" spans="134:135">
      <c r="ED371" t="s">
        <v>3764</v>
      </c>
      <c r="EE371" t="s">
        <v>3765</v>
      </c>
    </row>
    <row r="372" spans="134:135">
      <c r="ED372" t="s">
        <v>3766</v>
      </c>
      <c r="EE372" t="s">
        <v>3767</v>
      </c>
    </row>
    <row r="373" spans="134:135">
      <c r="ED373" t="s">
        <v>3768</v>
      </c>
      <c r="EE373" t="s">
        <v>3769</v>
      </c>
    </row>
    <row r="374" spans="134:135">
      <c r="ED374" t="s">
        <v>3770</v>
      </c>
      <c r="EE374" t="s">
        <v>3771</v>
      </c>
    </row>
    <row r="375" spans="134:135">
      <c r="ED375" t="s">
        <v>3772</v>
      </c>
      <c r="EE375" t="s">
        <v>3773</v>
      </c>
    </row>
    <row r="376" spans="134:135">
      <c r="ED376" t="s">
        <v>3774</v>
      </c>
      <c r="EE376" t="s">
        <v>3775</v>
      </c>
    </row>
    <row r="377" spans="134:135">
      <c r="ED377" t="s">
        <v>3776</v>
      </c>
      <c r="EE377" t="s">
        <v>3777</v>
      </c>
    </row>
    <row r="378" spans="134:135">
      <c r="ED378" t="s">
        <v>3778</v>
      </c>
      <c r="EE378" t="s">
        <v>3779</v>
      </c>
    </row>
    <row r="379" spans="134:135">
      <c r="ED379" t="s">
        <v>3780</v>
      </c>
      <c r="EE379" t="s">
        <v>3781</v>
      </c>
    </row>
    <row r="380" spans="134:135">
      <c r="ED380" t="s">
        <v>3782</v>
      </c>
      <c r="EE380" t="s">
        <v>3783</v>
      </c>
    </row>
    <row r="381" spans="134:135">
      <c r="ED381" t="s">
        <v>3784</v>
      </c>
      <c r="EE381" t="s">
        <v>3785</v>
      </c>
    </row>
    <row r="382" spans="134:135">
      <c r="ED382" t="s">
        <v>3786</v>
      </c>
      <c r="EE382" t="s">
        <v>3787</v>
      </c>
    </row>
    <row r="383" spans="134:135">
      <c r="ED383" t="s">
        <v>3788</v>
      </c>
      <c r="EE383" t="s">
        <v>3789</v>
      </c>
    </row>
    <row r="384" spans="134:135">
      <c r="ED384" t="s">
        <v>3790</v>
      </c>
      <c r="EE384" t="s">
        <v>3791</v>
      </c>
    </row>
    <row r="385" spans="134:135">
      <c r="ED385" t="s">
        <v>3792</v>
      </c>
      <c r="EE385" t="s">
        <v>3793</v>
      </c>
    </row>
    <row r="386" spans="134:135">
      <c r="ED386" t="s">
        <v>3794</v>
      </c>
      <c r="EE386" t="s">
        <v>3795</v>
      </c>
    </row>
    <row r="387" spans="134:135">
      <c r="ED387" t="s">
        <v>3796</v>
      </c>
      <c r="EE387" t="s">
        <v>3797</v>
      </c>
    </row>
    <row r="388" spans="134:135">
      <c r="ED388" t="s">
        <v>3798</v>
      </c>
      <c r="EE388" t="s">
        <v>3799</v>
      </c>
    </row>
    <row r="389" spans="134:135">
      <c r="ED389" t="s">
        <v>3800</v>
      </c>
      <c r="EE389" t="s">
        <v>3801</v>
      </c>
    </row>
    <row r="390" spans="134:135">
      <c r="ED390" t="s">
        <v>3802</v>
      </c>
      <c r="EE390" t="s">
        <v>3803</v>
      </c>
    </row>
    <row r="391" spans="134:135">
      <c r="ED391" t="s">
        <v>3804</v>
      </c>
      <c r="EE391" t="s">
        <v>3805</v>
      </c>
    </row>
    <row r="392" spans="134:135">
      <c r="ED392" t="s">
        <v>3806</v>
      </c>
      <c r="EE392" t="s">
        <v>3807</v>
      </c>
    </row>
    <row r="393" spans="134:135">
      <c r="ED393" t="s">
        <v>3808</v>
      </c>
      <c r="EE393" t="s">
        <v>3809</v>
      </c>
    </row>
    <row r="394" spans="134:135">
      <c r="ED394" t="s">
        <v>3810</v>
      </c>
      <c r="EE394" t="s">
        <v>3811</v>
      </c>
    </row>
    <row r="395" spans="134:135">
      <c r="ED395" t="s">
        <v>3812</v>
      </c>
      <c r="EE395" t="s">
        <v>3813</v>
      </c>
    </row>
    <row r="396" spans="134:135">
      <c r="ED396" t="s">
        <v>3814</v>
      </c>
      <c r="EE396" t="s">
        <v>3815</v>
      </c>
    </row>
    <row r="397" spans="134:135">
      <c r="ED397" t="s">
        <v>3816</v>
      </c>
      <c r="EE397" t="s">
        <v>3817</v>
      </c>
    </row>
    <row r="398" spans="134:135">
      <c r="ED398" t="s">
        <v>3818</v>
      </c>
      <c r="EE398" t="s">
        <v>3690</v>
      </c>
    </row>
    <row r="399" spans="134:135">
      <c r="ED399" t="s">
        <v>3819</v>
      </c>
      <c r="EE399" t="s">
        <v>3692</v>
      </c>
    </row>
    <row r="400" spans="134:135">
      <c r="ED400" t="s">
        <v>3820</v>
      </c>
      <c r="EE400" t="s">
        <v>3694</v>
      </c>
    </row>
    <row r="401" spans="128:135">
      <c r="ED401" t="s">
        <v>3821</v>
      </c>
      <c r="EE401" t="s">
        <v>3696</v>
      </c>
    </row>
    <row r="402" spans="128:135">
      <c r="ED402" t="s">
        <v>3822</v>
      </c>
      <c r="EE402" t="s">
        <v>3698</v>
      </c>
    </row>
    <row r="403" spans="128:135">
      <c r="ED403" t="s">
        <v>3823</v>
      </c>
      <c r="EE403" t="s">
        <v>3700</v>
      </c>
    </row>
    <row r="404" spans="128:135">
      <c r="ED404" t="s">
        <v>3824</v>
      </c>
      <c r="EE404" t="s">
        <v>3702</v>
      </c>
    </row>
    <row r="405" spans="128:135">
      <c r="ED405" t="s">
        <v>3825</v>
      </c>
      <c r="EE405" t="s">
        <v>3704</v>
      </c>
    </row>
    <row r="406" spans="128:135">
      <c r="ED406" t="s">
        <v>3826</v>
      </c>
      <c r="EE406" t="s">
        <v>3706</v>
      </c>
    </row>
    <row r="407" spans="128:135">
      <c r="ED407" t="s">
        <v>3827</v>
      </c>
      <c r="EE407" t="s">
        <v>3708</v>
      </c>
    </row>
    <row r="408" spans="128:135">
      <c r="ED408" t="s">
        <v>3828</v>
      </c>
      <c r="EE408" t="s">
        <v>3710</v>
      </c>
    </row>
    <row r="409" spans="128:135">
      <c r="ED409" t="s">
        <v>3829</v>
      </c>
      <c r="EE409" t="s">
        <v>3712</v>
      </c>
    </row>
    <row r="410" spans="128:135">
      <c r="ED410" t="s">
        <v>3830</v>
      </c>
      <c r="EE410" t="s">
        <v>3714</v>
      </c>
    </row>
    <row r="411" spans="128:135">
      <c r="ED411" t="s">
        <v>3831</v>
      </c>
      <c r="EE411" t="s">
        <v>3716</v>
      </c>
    </row>
    <row r="412" spans="128:135">
      <c r="ED412" t="s">
        <v>3832</v>
      </c>
      <c r="EE412" t="s">
        <v>3718</v>
      </c>
    </row>
    <row r="413" spans="128:135">
      <c r="ED413" t="s">
        <v>3833</v>
      </c>
      <c r="EE413" t="s">
        <v>3720</v>
      </c>
    </row>
    <row r="414" spans="128:135">
      <c r="DX414" s="286"/>
      <c r="ED414" t="s">
        <v>3834</v>
      </c>
      <c r="EE414" t="s">
        <v>3722</v>
      </c>
    </row>
    <row r="415" spans="128:135">
      <c r="DX415" s="286"/>
      <c r="ED415" t="s">
        <v>3835</v>
      </c>
      <c r="EE415" t="s">
        <v>3724</v>
      </c>
    </row>
    <row r="416" spans="128:135">
      <c r="DX416" s="286"/>
      <c r="ED416" t="s">
        <v>3836</v>
      </c>
      <c r="EE416" t="s">
        <v>3726</v>
      </c>
    </row>
    <row r="417" spans="128:135">
      <c r="DX417" s="286"/>
      <c r="ED417" t="s">
        <v>3837</v>
      </c>
      <c r="EE417" t="s">
        <v>3727</v>
      </c>
    </row>
    <row r="418" spans="128:135">
      <c r="DX418" s="286"/>
      <c r="ED418" t="s">
        <v>3688</v>
      </c>
      <c r="EE418" t="s">
        <v>3729</v>
      </c>
    </row>
    <row r="419" spans="128:135">
      <c r="ED419" t="s">
        <v>3838</v>
      </c>
      <c r="EE419" t="s">
        <v>3731</v>
      </c>
    </row>
    <row r="420" spans="128:135">
      <c r="ED420" t="s">
        <v>3839</v>
      </c>
      <c r="EE420" t="s">
        <v>3733</v>
      </c>
    </row>
    <row r="421" spans="128:135">
      <c r="ED421" t="s">
        <v>3840</v>
      </c>
      <c r="EE421" t="s">
        <v>3735</v>
      </c>
    </row>
    <row r="422" spans="128:135">
      <c r="ED422" t="s">
        <v>3841</v>
      </c>
      <c r="EE422" t="s">
        <v>3737</v>
      </c>
    </row>
    <row r="423" spans="128:135">
      <c r="ED423" t="s">
        <v>3842</v>
      </c>
      <c r="EE423" t="s">
        <v>3739</v>
      </c>
    </row>
    <row r="424" spans="128:135">
      <c r="ED424" t="s">
        <v>3843</v>
      </c>
      <c r="EE424" t="s">
        <v>3741</v>
      </c>
    </row>
    <row r="425" spans="128:135">
      <c r="ED425" t="s">
        <v>3844</v>
      </c>
      <c r="EE425" t="s">
        <v>3743</v>
      </c>
    </row>
    <row r="426" spans="128:135">
      <c r="ED426" t="s">
        <v>3845</v>
      </c>
      <c r="EE426" t="s">
        <v>3745</v>
      </c>
    </row>
    <row r="427" spans="128:135">
      <c r="ED427" t="s">
        <v>3846</v>
      </c>
      <c r="EE427" t="s">
        <v>3747</v>
      </c>
    </row>
    <row r="428" spans="128:135">
      <c r="ED428" t="s">
        <v>3847</v>
      </c>
      <c r="EE428" t="s">
        <v>3749</v>
      </c>
    </row>
    <row r="429" spans="128:135">
      <c r="ED429" t="s">
        <v>3848</v>
      </c>
      <c r="EE429" t="s">
        <v>3751</v>
      </c>
    </row>
    <row r="430" spans="128:135">
      <c r="ED430" t="s">
        <v>3849</v>
      </c>
      <c r="EE430" t="s">
        <v>3753</v>
      </c>
    </row>
    <row r="431" spans="128:135">
      <c r="ED431" t="s">
        <v>3850</v>
      </c>
      <c r="EE431" t="s">
        <v>3755</v>
      </c>
    </row>
    <row r="432" spans="128:135">
      <c r="ED432" t="s">
        <v>3851</v>
      </c>
      <c r="EE432" t="s">
        <v>3757</v>
      </c>
    </row>
    <row r="433" spans="134:135">
      <c r="ED433" t="s">
        <v>3852</v>
      </c>
      <c r="EE433" t="s">
        <v>3759</v>
      </c>
    </row>
    <row r="434" spans="134:135">
      <c r="ED434" t="s">
        <v>3853</v>
      </c>
      <c r="EE434" t="s">
        <v>3761</v>
      </c>
    </row>
    <row r="435" spans="134:135">
      <c r="ED435" t="s">
        <v>3854</v>
      </c>
      <c r="EE435" t="s">
        <v>3763</v>
      </c>
    </row>
    <row r="436" spans="134:135">
      <c r="ED436" t="s">
        <v>3855</v>
      </c>
      <c r="EE436" t="s">
        <v>3765</v>
      </c>
    </row>
    <row r="437" spans="134:135">
      <c r="ED437" t="s">
        <v>3856</v>
      </c>
      <c r="EE437" t="s">
        <v>3767</v>
      </c>
    </row>
    <row r="438" spans="134:135">
      <c r="ED438" t="s">
        <v>3857</v>
      </c>
      <c r="EE438" t="s">
        <v>3769</v>
      </c>
    </row>
    <row r="439" spans="134:135">
      <c r="ED439" t="s">
        <v>3858</v>
      </c>
      <c r="EE439" t="s">
        <v>3771</v>
      </c>
    </row>
    <row r="440" spans="134:135">
      <c r="ED440" t="s">
        <v>3859</v>
      </c>
      <c r="EE440" t="s">
        <v>3773</v>
      </c>
    </row>
    <row r="441" spans="134:135">
      <c r="ED441" t="s">
        <v>3860</v>
      </c>
      <c r="EE441" t="s">
        <v>3775</v>
      </c>
    </row>
    <row r="442" spans="134:135">
      <c r="ED442" t="s">
        <v>3861</v>
      </c>
      <c r="EE442" t="s">
        <v>3777</v>
      </c>
    </row>
    <row r="443" spans="134:135">
      <c r="ED443" t="s">
        <v>3862</v>
      </c>
      <c r="EE443" t="s">
        <v>3779</v>
      </c>
    </row>
    <row r="444" spans="134:135">
      <c r="ED444" t="s">
        <v>3863</v>
      </c>
      <c r="EE444" t="s">
        <v>3781</v>
      </c>
    </row>
    <row r="445" spans="134:135">
      <c r="ED445" t="s">
        <v>3864</v>
      </c>
      <c r="EE445" t="s">
        <v>3783</v>
      </c>
    </row>
    <row r="446" spans="134:135">
      <c r="ED446" t="s">
        <v>3865</v>
      </c>
      <c r="EE446" t="s">
        <v>3785</v>
      </c>
    </row>
    <row r="447" spans="134:135">
      <c r="ED447" t="s">
        <v>3866</v>
      </c>
      <c r="EE447" t="s">
        <v>3787</v>
      </c>
    </row>
    <row r="448" spans="134:135">
      <c r="ED448" t="s">
        <v>3867</v>
      </c>
      <c r="EE448" t="s">
        <v>3789</v>
      </c>
    </row>
    <row r="449" spans="134:135">
      <c r="ED449" t="s">
        <v>3868</v>
      </c>
      <c r="EE449" t="s">
        <v>3791</v>
      </c>
    </row>
    <row r="450" spans="134:135">
      <c r="ED450" t="s">
        <v>3869</v>
      </c>
      <c r="EE450" t="s">
        <v>3793</v>
      </c>
    </row>
    <row r="451" spans="134:135">
      <c r="ED451" t="s">
        <v>3870</v>
      </c>
      <c r="EE451" t="s">
        <v>3795</v>
      </c>
    </row>
    <row r="452" spans="134:135">
      <c r="ED452" t="s">
        <v>3871</v>
      </c>
      <c r="EE452" t="s">
        <v>3797</v>
      </c>
    </row>
    <row r="453" spans="134:135">
      <c r="ED453" t="s">
        <v>3872</v>
      </c>
      <c r="EE453" t="s">
        <v>3799</v>
      </c>
    </row>
    <row r="454" spans="134:135">
      <c r="ED454" t="s">
        <v>3873</v>
      </c>
      <c r="EE454" t="s">
        <v>3801</v>
      </c>
    </row>
    <row r="455" spans="134:135">
      <c r="ED455" t="s">
        <v>3874</v>
      </c>
      <c r="EE455" t="s">
        <v>3803</v>
      </c>
    </row>
    <row r="456" spans="134:135">
      <c r="ED456" t="s">
        <v>3875</v>
      </c>
      <c r="EE456" t="s">
        <v>3805</v>
      </c>
    </row>
    <row r="457" spans="134:135">
      <c r="ED457" t="s">
        <v>3876</v>
      </c>
      <c r="EE457" t="s">
        <v>3807</v>
      </c>
    </row>
    <row r="458" spans="134:135">
      <c r="ED458" t="s">
        <v>3877</v>
      </c>
      <c r="EE458" t="s">
        <v>3809</v>
      </c>
    </row>
    <row r="459" spans="134:135">
      <c r="ED459" t="s">
        <v>3878</v>
      </c>
      <c r="EE459" t="s">
        <v>3811</v>
      </c>
    </row>
    <row r="460" spans="134:135">
      <c r="ED460" t="s">
        <v>3879</v>
      </c>
      <c r="EE460" t="s">
        <v>3813</v>
      </c>
    </row>
    <row r="461" spans="134:135">
      <c r="ED461" t="s">
        <v>3880</v>
      </c>
      <c r="EE461" t="s">
        <v>3815</v>
      </c>
    </row>
    <row r="462" spans="134:135">
      <c r="ED462" t="s">
        <v>3881</v>
      </c>
      <c r="EE462" t="s">
        <v>3817</v>
      </c>
    </row>
    <row r="463" spans="134:135">
      <c r="ED463" t="s">
        <v>3690</v>
      </c>
      <c r="EE463" t="s">
        <v>3690</v>
      </c>
    </row>
    <row r="464" spans="134:135">
      <c r="ED464" t="s">
        <v>3692</v>
      </c>
      <c r="EE464" t="s">
        <v>3692</v>
      </c>
    </row>
    <row r="465" spans="134:135">
      <c r="ED465" t="s">
        <v>3694</v>
      </c>
      <c r="EE465" t="s">
        <v>3694</v>
      </c>
    </row>
    <row r="466" spans="134:135">
      <c r="ED466" t="s">
        <v>3696</v>
      </c>
      <c r="EE466" t="s">
        <v>3696</v>
      </c>
    </row>
    <row r="467" spans="134:135">
      <c r="ED467" t="s">
        <v>3698</v>
      </c>
      <c r="EE467" t="s">
        <v>3698</v>
      </c>
    </row>
    <row r="468" spans="134:135">
      <c r="ED468" t="s">
        <v>3700</v>
      </c>
      <c r="EE468" t="s">
        <v>3700</v>
      </c>
    </row>
    <row r="469" spans="134:135">
      <c r="ED469" t="s">
        <v>3702</v>
      </c>
      <c r="EE469" t="s">
        <v>3702</v>
      </c>
    </row>
    <row r="470" spans="134:135">
      <c r="ED470" t="s">
        <v>3704</v>
      </c>
      <c r="EE470" t="s">
        <v>3704</v>
      </c>
    </row>
    <row r="471" spans="134:135">
      <c r="ED471" t="s">
        <v>3706</v>
      </c>
      <c r="EE471" t="s">
        <v>3706</v>
      </c>
    </row>
    <row r="472" spans="134:135">
      <c r="ED472" t="s">
        <v>3708</v>
      </c>
      <c r="EE472" t="s">
        <v>3708</v>
      </c>
    </row>
    <row r="473" spans="134:135">
      <c r="ED473" t="s">
        <v>3710</v>
      </c>
      <c r="EE473" t="s">
        <v>3710</v>
      </c>
    </row>
    <row r="474" spans="134:135">
      <c r="ED474" t="s">
        <v>3712</v>
      </c>
      <c r="EE474" t="s">
        <v>3712</v>
      </c>
    </row>
    <row r="475" spans="134:135">
      <c r="ED475" t="s">
        <v>3714</v>
      </c>
      <c r="EE475" t="s">
        <v>3714</v>
      </c>
    </row>
    <row r="476" spans="134:135">
      <c r="ED476" t="s">
        <v>3716</v>
      </c>
      <c r="EE476" t="s">
        <v>3716</v>
      </c>
    </row>
    <row r="477" spans="134:135">
      <c r="ED477" t="s">
        <v>3718</v>
      </c>
      <c r="EE477" t="s">
        <v>3718</v>
      </c>
    </row>
    <row r="478" spans="134:135">
      <c r="ED478" t="s">
        <v>3720</v>
      </c>
      <c r="EE478" t="s">
        <v>3720</v>
      </c>
    </row>
    <row r="479" spans="134:135">
      <c r="ED479" t="s">
        <v>3722</v>
      </c>
      <c r="EE479" t="s">
        <v>3722</v>
      </c>
    </row>
    <row r="480" spans="134:135">
      <c r="ED480" t="s">
        <v>3724</v>
      </c>
      <c r="EE480" t="s">
        <v>3724</v>
      </c>
    </row>
    <row r="481" spans="134:135">
      <c r="ED481" t="s">
        <v>3726</v>
      </c>
      <c r="EE481" t="s">
        <v>3726</v>
      </c>
    </row>
    <row r="482" spans="134:135">
      <c r="ED482" t="s">
        <v>3727</v>
      </c>
      <c r="EE482" t="s">
        <v>3727</v>
      </c>
    </row>
    <row r="483" spans="134:135">
      <c r="ED483" t="s">
        <v>3729</v>
      </c>
      <c r="EE483" t="s">
        <v>3729</v>
      </c>
    </row>
    <row r="484" spans="134:135">
      <c r="ED484" t="s">
        <v>3731</v>
      </c>
      <c r="EE484" t="s">
        <v>3731</v>
      </c>
    </row>
    <row r="485" spans="134:135">
      <c r="ED485" t="s">
        <v>3733</v>
      </c>
      <c r="EE485" t="s">
        <v>3733</v>
      </c>
    </row>
    <row r="486" spans="134:135">
      <c r="ED486" t="s">
        <v>3735</v>
      </c>
      <c r="EE486" t="s">
        <v>3735</v>
      </c>
    </row>
    <row r="487" spans="134:135">
      <c r="ED487" t="s">
        <v>3737</v>
      </c>
      <c r="EE487" t="s">
        <v>3737</v>
      </c>
    </row>
    <row r="488" spans="134:135">
      <c r="ED488" t="s">
        <v>3739</v>
      </c>
      <c r="EE488" t="s">
        <v>3739</v>
      </c>
    </row>
    <row r="489" spans="134:135">
      <c r="ED489" t="s">
        <v>3741</v>
      </c>
      <c r="EE489" t="s">
        <v>3741</v>
      </c>
    </row>
    <row r="490" spans="134:135">
      <c r="ED490" t="s">
        <v>3743</v>
      </c>
      <c r="EE490" t="s">
        <v>3743</v>
      </c>
    </row>
    <row r="491" spans="134:135">
      <c r="ED491" t="s">
        <v>3745</v>
      </c>
      <c r="EE491" t="s">
        <v>3745</v>
      </c>
    </row>
    <row r="492" spans="134:135">
      <c r="ED492" t="s">
        <v>3747</v>
      </c>
      <c r="EE492" t="s">
        <v>3747</v>
      </c>
    </row>
    <row r="493" spans="134:135">
      <c r="ED493" t="s">
        <v>3749</v>
      </c>
      <c r="EE493" t="s">
        <v>3749</v>
      </c>
    </row>
    <row r="494" spans="134:135">
      <c r="ED494" t="s">
        <v>3751</v>
      </c>
      <c r="EE494" t="s">
        <v>3751</v>
      </c>
    </row>
    <row r="495" spans="134:135">
      <c r="ED495" t="s">
        <v>3753</v>
      </c>
      <c r="EE495" t="s">
        <v>3753</v>
      </c>
    </row>
    <row r="496" spans="134:135">
      <c r="ED496" t="s">
        <v>3755</v>
      </c>
      <c r="EE496" t="s">
        <v>3755</v>
      </c>
    </row>
    <row r="497" spans="124:135">
      <c r="DT497" s="351"/>
      <c r="ED497" t="s">
        <v>3757</v>
      </c>
      <c r="EE497" t="s">
        <v>3757</v>
      </c>
    </row>
    <row r="498" spans="124:135">
      <c r="DT498" s="351"/>
      <c r="ED498" t="s">
        <v>3759</v>
      </c>
      <c r="EE498" t="s">
        <v>3759</v>
      </c>
    </row>
    <row r="499" spans="124:135">
      <c r="DT499" s="351"/>
      <c r="ED499" t="s">
        <v>3761</v>
      </c>
      <c r="EE499" t="s">
        <v>3761</v>
      </c>
    </row>
    <row r="500" spans="124:135">
      <c r="DT500" s="351"/>
      <c r="ED500" t="s">
        <v>3763</v>
      </c>
      <c r="EE500" t="s">
        <v>3763</v>
      </c>
    </row>
    <row r="501" spans="124:135">
      <c r="DT501" s="351"/>
      <c r="ED501" t="s">
        <v>3765</v>
      </c>
      <c r="EE501" t="s">
        <v>3765</v>
      </c>
    </row>
    <row r="502" spans="124:135">
      <c r="DT502" s="351"/>
      <c r="ED502" t="s">
        <v>3767</v>
      </c>
      <c r="EE502" t="s">
        <v>3767</v>
      </c>
    </row>
    <row r="503" spans="124:135">
      <c r="DT503" s="351"/>
      <c r="ED503" t="s">
        <v>3769</v>
      </c>
      <c r="EE503" t="s">
        <v>3769</v>
      </c>
    </row>
    <row r="504" spans="124:135">
      <c r="DT504" s="351"/>
      <c r="ED504" t="s">
        <v>3771</v>
      </c>
      <c r="EE504" t="s">
        <v>3771</v>
      </c>
    </row>
    <row r="505" spans="124:135">
      <c r="DT505" s="286"/>
      <c r="ED505" t="s">
        <v>3773</v>
      </c>
      <c r="EE505" t="s">
        <v>3773</v>
      </c>
    </row>
    <row r="506" spans="124:135">
      <c r="DT506" s="352"/>
      <c r="ED506" t="s">
        <v>3775</v>
      </c>
      <c r="EE506" t="s">
        <v>3775</v>
      </c>
    </row>
    <row r="507" spans="124:135">
      <c r="DT507" s="352"/>
      <c r="ED507" t="s">
        <v>3777</v>
      </c>
      <c r="EE507" t="s">
        <v>3777</v>
      </c>
    </row>
    <row r="508" spans="124:135">
      <c r="DT508" s="352"/>
      <c r="ED508" t="s">
        <v>3779</v>
      </c>
      <c r="EE508" t="s">
        <v>3779</v>
      </c>
    </row>
    <row r="509" spans="124:135">
      <c r="DT509" s="352"/>
      <c r="ED509" t="s">
        <v>3781</v>
      </c>
      <c r="EE509" t="s">
        <v>3781</v>
      </c>
    </row>
    <row r="510" spans="124:135">
      <c r="DT510" s="352"/>
      <c r="ED510" t="s">
        <v>3783</v>
      </c>
      <c r="EE510" t="s">
        <v>3783</v>
      </c>
    </row>
    <row r="511" spans="124:135">
      <c r="DT511" s="352"/>
      <c r="ED511" t="s">
        <v>3785</v>
      </c>
      <c r="EE511" t="s">
        <v>3785</v>
      </c>
    </row>
    <row r="512" spans="124:135">
      <c r="DT512" s="352"/>
      <c r="ED512" t="s">
        <v>3787</v>
      </c>
      <c r="EE512" t="s">
        <v>3787</v>
      </c>
    </row>
    <row r="513" spans="124:135">
      <c r="DT513" s="352"/>
      <c r="ED513" t="s">
        <v>3789</v>
      </c>
      <c r="EE513" t="s">
        <v>3789</v>
      </c>
    </row>
    <row r="514" spans="124:135">
      <c r="DT514" s="352"/>
      <c r="ED514" t="s">
        <v>3791</v>
      </c>
      <c r="EE514" t="s">
        <v>3791</v>
      </c>
    </row>
    <row r="515" spans="124:135">
      <c r="DT515" s="352"/>
      <c r="ED515" t="s">
        <v>3793</v>
      </c>
      <c r="EE515" t="s">
        <v>3793</v>
      </c>
    </row>
    <row r="516" spans="124:135">
      <c r="DT516" s="352"/>
      <c r="ED516" t="s">
        <v>3795</v>
      </c>
      <c r="EE516" t="s">
        <v>3795</v>
      </c>
    </row>
    <row r="517" spans="124:135">
      <c r="DT517" s="352"/>
      <c r="ED517" t="s">
        <v>3797</v>
      </c>
      <c r="EE517" t="s">
        <v>3797</v>
      </c>
    </row>
    <row r="518" spans="124:135">
      <c r="DT518" s="352"/>
      <c r="ED518" t="s">
        <v>3799</v>
      </c>
      <c r="EE518" t="s">
        <v>3799</v>
      </c>
    </row>
    <row r="519" spans="124:135">
      <c r="DT519" s="351"/>
      <c r="DU519" s="351"/>
      <c r="ED519" t="s">
        <v>3801</v>
      </c>
      <c r="EE519" t="s">
        <v>3801</v>
      </c>
    </row>
    <row r="520" spans="124:135">
      <c r="DT520" s="351"/>
      <c r="DU520" s="351"/>
      <c r="ED520" t="s">
        <v>3803</v>
      </c>
      <c r="EE520" t="s">
        <v>3803</v>
      </c>
    </row>
    <row r="521" spans="124:135">
      <c r="DT521" s="351"/>
      <c r="DU521" s="351"/>
      <c r="ED521" t="s">
        <v>3805</v>
      </c>
      <c r="EE521" t="s">
        <v>3805</v>
      </c>
    </row>
    <row r="522" spans="124:135">
      <c r="DT522" s="352"/>
      <c r="DU522" s="352"/>
      <c r="ED522" t="s">
        <v>3807</v>
      </c>
      <c r="EE522" t="s">
        <v>3807</v>
      </c>
    </row>
    <row r="523" spans="124:135">
      <c r="DT523" s="352"/>
      <c r="DU523" s="352"/>
      <c r="ED523" t="s">
        <v>3809</v>
      </c>
      <c r="EE523" t="s">
        <v>3809</v>
      </c>
    </row>
    <row r="524" spans="124:135">
      <c r="DT524" s="352"/>
      <c r="DU524" s="352"/>
      <c r="ED524" t="s">
        <v>3811</v>
      </c>
      <c r="EE524" t="s">
        <v>3811</v>
      </c>
    </row>
    <row r="525" spans="124:135">
      <c r="DT525" s="352"/>
      <c r="DU525" s="352"/>
      <c r="ED525" t="s">
        <v>3813</v>
      </c>
      <c r="EE525" t="s">
        <v>3813</v>
      </c>
    </row>
    <row r="526" spans="124:135">
      <c r="DT526" s="352"/>
      <c r="DU526" s="352"/>
      <c r="ED526" t="s">
        <v>3815</v>
      </c>
      <c r="EE526" t="s">
        <v>3815</v>
      </c>
    </row>
    <row r="527" spans="124:135">
      <c r="DT527" s="352"/>
      <c r="DU527" s="352"/>
      <c r="ED527" t="s">
        <v>3817</v>
      </c>
      <c r="EE527" t="s">
        <v>3817</v>
      </c>
    </row>
    <row r="528" spans="124:135">
      <c r="DT528" s="352"/>
      <c r="DU528" s="352"/>
      <c r="ED528" t="s">
        <v>3882</v>
      </c>
      <c r="EE528" t="s">
        <v>3690</v>
      </c>
    </row>
    <row r="529" spans="124:135">
      <c r="DT529" s="352"/>
      <c r="DU529" s="352"/>
      <c r="ED529" t="s">
        <v>3883</v>
      </c>
      <c r="EE529" t="s">
        <v>3692</v>
      </c>
    </row>
    <row r="530" spans="124:135">
      <c r="DT530" s="352"/>
      <c r="DU530" s="352"/>
      <c r="ED530" t="s">
        <v>3884</v>
      </c>
      <c r="EE530" t="s">
        <v>3694</v>
      </c>
    </row>
    <row r="531" spans="124:135">
      <c r="DT531" s="353"/>
      <c r="DU531" s="353"/>
      <c r="ED531" t="s">
        <v>3885</v>
      </c>
      <c r="EE531" t="s">
        <v>3696</v>
      </c>
    </row>
    <row r="532" spans="124:135">
      <c r="DT532" s="351"/>
      <c r="DU532" s="351"/>
      <c r="ED532" t="s">
        <v>3886</v>
      </c>
      <c r="EE532" t="s">
        <v>3698</v>
      </c>
    </row>
    <row r="533" spans="124:135">
      <c r="DT533" s="351"/>
      <c r="DU533" s="351"/>
      <c r="ED533" t="s">
        <v>3887</v>
      </c>
      <c r="EE533" t="s">
        <v>3700</v>
      </c>
    </row>
    <row r="534" spans="124:135">
      <c r="DT534" s="351"/>
      <c r="ED534" t="s">
        <v>3888</v>
      </c>
      <c r="EE534" t="s">
        <v>3702</v>
      </c>
    </row>
    <row r="535" spans="124:135">
      <c r="DT535" s="351"/>
      <c r="ED535" t="s">
        <v>3889</v>
      </c>
      <c r="EE535" t="s">
        <v>3704</v>
      </c>
    </row>
    <row r="536" spans="124:135">
      <c r="DT536" s="286"/>
      <c r="ED536" t="s">
        <v>3890</v>
      </c>
      <c r="EE536" t="s">
        <v>3706</v>
      </c>
    </row>
    <row r="537" spans="124:135">
      <c r="DT537" s="351"/>
      <c r="DU537" s="351"/>
      <c r="ED537" t="s">
        <v>3891</v>
      </c>
      <c r="EE537" t="s">
        <v>3708</v>
      </c>
    </row>
    <row r="538" spans="124:135">
      <c r="DT538" s="351"/>
      <c r="DU538" s="351"/>
      <c r="ED538" t="s">
        <v>3892</v>
      </c>
      <c r="EE538" t="s">
        <v>3710</v>
      </c>
    </row>
    <row r="539" spans="124:135">
      <c r="DT539" s="351"/>
      <c r="DU539" s="351"/>
      <c r="ED539" t="s">
        <v>3893</v>
      </c>
      <c r="EE539" t="s">
        <v>3712</v>
      </c>
    </row>
    <row r="540" spans="124:135">
      <c r="DT540" s="351"/>
      <c r="DU540" s="351"/>
      <c r="ED540" t="s">
        <v>3894</v>
      </c>
      <c r="EE540" t="s">
        <v>3714</v>
      </c>
    </row>
    <row r="541" spans="124:135">
      <c r="DT541" s="351"/>
      <c r="DU541" s="351"/>
      <c r="ED541" t="s">
        <v>3895</v>
      </c>
      <c r="EE541" t="s">
        <v>3716</v>
      </c>
    </row>
    <row r="542" spans="124:135">
      <c r="DT542" s="352"/>
      <c r="DU542" s="352"/>
      <c r="ED542" t="s">
        <v>3896</v>
      </c>
      <c r="EE542" t="s">
        <v>3718</v>
      </c>
    </row>
    <row r="543" spans="124:135">
      <c r="DT543" s="286"/>
      <c r="DU543" s="286"/>
      <c r="ED543" t="s">
        <v>3897</v>
      </c>
      <c r="EE543" t="s">
        <v>3720</v>
      </c>
    </row>
    <row r="544" spans="124:135">
      <c r="DT544" s="351"/>
      <c r="DU544" s="351"/>
      <c r="ED544" t="s">
        <v>3898</v>
      </c>
      <c r="EE544" t="s">
        <v>3722</v>
      </c>
    </row>
    <row r="545" spans="124:135">
      <c r="DT545" s="351"/>
      <c r="DU545" s="351"/>
      <c r="ED545" t="s">
        <v>3899</v>
      </c>
      <c r="EE545" t="s">
        <v>3724</v>
      </c>
    </row>
    <row r="546" spans="124:135">
      <c r="DT546" s="352"/>
      <c r="DU546" s="352"/>
      <c r="ED546" t="s">
        <v>3900</v>
      </c>
      <c r="EE546" t="s">
        <v>3726</v>
      </c>
    </row>
    <row r="547" spans="124:135">
      <c r="DT547" s="352"/>
      <c r="DU547" s="352"/>
      <c r="ED547" t="s">
        <v>3901</v>
      </c>
      <c r="EE547" t="s">
        <v>3727</v>
      </c>
    </row>
    <row r="548" spans="124:135">
      <c r="DT548" s="286"/>
      <c r="DU548" s="286"/>
      <c r="ED548" t="s">
        <v>3902</v>
      </c>
      <c r="EE548" t="s">
        <v>3729</v>
      </c>
    </row>
    <row r="549" spans="124:135">
      <c r="DT549" s="286"/>
      <c r="DU549" s="286"/>
      <c r="ED549" t="s">
        <v>3903</v>
      </c>
      <c r="EE549" t="s">
        <v>3731</v>
      </c>
    </row>
    <row r="550" spans="124:135">
      <c r="DT550" s="351"/>
      <c r="DU550" s="351"/>
      <c r="ED550" t="s">
        <v>3904</v>
      </c>
      <c r="EE550" t="s">
        <v>3733</v>
      </c>
    </row>
    <row r="551" spans="124:135">
      <c r="DT551" s="351"/>
      <c r="DU551" s="351"/>
      <c r="ED551" t="s">
        <v>3905</v>
      </c>
      <c r="EE551" t="s">
        <v>3735</v>
      </c>
    </row>
    <row r="552" spans="124:135">
      <c r="DT552" s="352"/>
      <c r="DU552" s="351"/>
      <c r="ED552" t="s">
        <v>3906</v>
      </c>
      <c r="EE552" t="s">
        <v>3737</v>
      </c>
    </row>
    <row r="553" spans="124:135">
      <c r="DT553" s="352"/>
      <c r="DU553" s="351"/>
      <c r="ED553" t="s">
        <v>3907</v>
      </c>
      <c r="EE553" t="s">
        <v>3739</v>
      </c>
    </row>
    <row r="554" spans="124:135">
      <c r="DT554" s="286"/>
      <c r="DU554" s="351"/>
      <c r="ED554" t="s">
        <v>3908</v>
      </c>
      <c r="EE554" t="s">
        <v>3741</v>
      </c>
    </row>
    <row r="555" spans="124:135">
      <c r="DT555" s="286"/>
      <c r="DU555" s="351"/>
      <c r="ED555" t="s">
        <v>3909</v>
      </c>
      <c r="EE555" t="s">
        <v>3743</v>
      </c>
    </row>
    <row r="556" spans="124:135">
      <c r="DT556" s="353"/>
      <c r="ED556" t="s">
        <v>3910</v>
      </c>
      <c r="EE556" t="s">
        <v>3745</v>
      </c>
    </row>
    <row r="557" spans="124:135">
      <c r="DT557" s="353"/>
      <c r="ED557" t="s">
        <v>3911</v>
      </c>
      <c r="EE557" t="s">
        <v>3747</v>
      </c>
    </row>
    <row r="558" spans="124:135">
      <c r="DT558" s="353"/>
      <c r="ED558" t="s">
        <v>3912</v>
      </c>
      <c r="EE558" t="s">
        <v>3749</v>
      </c>
    </row>
    <row r="559" spans="124:135">
      <c r="DT559" s="351"/>
      <c r="ED559" t="s">
        <v>3913</v>
      </c>
      <c r="EE559" t="s">
        <v>3751</v>
      </c>
    </row>
    <row r="560" spans="124:135">
      <c r="DT560" s="286"/>
      <c r="ED560" t="s">
        <v>3914</v>
      </c>
      <c r="EE560" t="s">
        <v>3753</v>
      </c>
    </row>
    <row r="561" spans="124:135">
      <c r="DT561" s="351"/>
      <c r="ED561" t="s">
        <v>3915</v>
      </c>
      <c r="EE561" t="s">
        <v>3755</v>
      </c>
    </row>
    <row r="562" spans="124:135">
      <c r="DT562" s="286"/>
      <c r="ED562" t="s">
        <v>3916</v>
      </c>
      <c r="EE562" t="s">
        <v>3757</v>
      </c>
    </row>
    <row r="563" spans="124:135">
      <c r="DT563" s="352"/>
      <c r="DU563" s="351"/>
      <c r="ED563" t="s">
        <v>3917</v>
      </c>
      <c r="EE563" t="s">
        <v>3759</v>
      </c>
    </row>
    <row r="564" spans="124:135">
      <c r="DT564" s="352"/>
      <c r="DU564" s="351"/>
      <c r="ED564" t="s">
        <v>3918</v>
      </c>
      <c r="EE564" t="s">
        <v>3761</v>
      </c>
    </row>
    <row r="565" spans="124:135">
      <c r="DT565" s="286"/>
      <c r="DU565" s="351"/>
      <c r="ED565" t="s">
        <v>3919</v>
      </c>
      <c r="EE565" t="s">
        <v>3763</v>
      </c>
    </row>
    <row r="566" spans="124:135">
      <c r="DT566" s="286"/>
      <c r="DU566" s="351"/>
      <c r="ED566" t="s">
        <v>3920</v>
      </c>
      <c r="EE566" t="s">
        <v>3765</v>
      </c>
    </row>
    <row r="567" spans="124:135">
      <c r="DT567" s="352"/>
      <c r="DU567" s="351"/>
      <c r="ED567" t="s">
        <v>3921</v>
      </c>
      <c r="EE567" t="s">
        <v>3767</v>
      </c>
    </row>
    <row r="568" spans="124:135">
      <c r="DT568" s="352"/>
      <c r="DU568" s="351"/>
      <c r="ED568" t="s">
        <v>3922</v>
      </c>
      <c r="EE568" t="s">
        <v>3769</v>
      </c>
    </row>
    <row r="569" spans="124:135">
      <c r="DT569" s="286"/>
      <c r="DU569" s="351"/>
      <c r="ED569" t="s">
        <v>3923</v>
      </c>
      <c r="EE569" t="s">
        <v>3771</v>
      </c>
    </row>
    <row r="570" spans="124:135">
      <c r="DT570" s="286"/>
      <c r="DU570" s="351"/>
      <c r="ED570" t="s">
        <v>3924</v>
      </c>
      <c r="EE570" t="s">
        <v>3773</v>
      </c>
    </row>
    <row r="571" spans="124:135">
      <c r="DT571" s="352"/>
      <c r="ED571" t="s">
        <v>3925</v>
      </c>
      <c r="EE571" t="s">
        <v>3775</v>
      </c>
    </row>
    <row r="572" spans="124:135">
      <c r="DT572" s="351"/>
      <c r="ED572" t="s">
        <v>3926</v>
      </c>
      <c r="EE572" t="s">
        <v>3777</v>
      </c>
    </row>
    <row r="573" spans="124:135">
      <c r="DT573" s="351"/>
      <c r="ED573" t="s">
        <v>3927</v>
      </c>
      <c r="EE573" t="s">
        <v>3779</v>
      </c>
    </row>
    <row r="574" spans="124:135">
      <c r="DT574" s="351"/>
      <c r="ED574" t="s">
        <v>3928</v>
      </c>
      <c r="EE574" t="s">
        <v>3781</v>
      </c>
    </row>
    <row r="575" spans="124:135">
      <c r="DT575" s="286"/>
      <c r="ED575" t="s">
        <v>3929</v>
      </c>
      <c r="EE575" t="s">
        <v>3783</v>
      </c>
    </row>
    <row r="576" spans="124:135">
      <c r="DT576" s="352"/>
      <c r="ED576" t="s">
        <v>3930</v>
      </c>
      <c r="EE576" t="s">
        <v>3785</v>
      </c>
    </row>
    <row r="577" spans="124:135">
      <c r="DT577" s="351"/>
      <c r="ED577" t="s">
        <v>3931</v>
      </c>
      <c r="EE577" t="s">
        <v>3787</v>
      </c>
    </row>
    <row r="578" spans="124:135">
      <c r="DT578" s="351"/>
      <c r="ED578" t="s">
        <v>3932</v>
      </c>
      <c r="EE578" t="s">
        <v>3789</v>
      </c>
    </row>
    <row r="579" spans="124:135">
      <c r="DT579" s="351"/>
      <c r="ED579" t="s">
        <v>3933</v>
      </c>
      <c r="EE579" t="s">
        <v>3791</v>
      </c>
    </row>
    <row r="580" spans="124:135">
      <c r="DT580" s="286"/>
      <c r="ED580" t="s">
        <v>3934</v>
      </c>
      <c r="EE580" t="s">
        <v>3793</v>
      </c>
    </row>
    <row r="581" spans="124:135">
      <c r="DT581" s="352"/>
      <c r="ED581" t="s">
        <v>3935</v>
      </c>
      <c r="EE581" t="s">
        <v>3795</v>
      </c>
    </row>
    <row r="582" spans="124:135">
      <c r="DT582" s="351"/>
      <c r="ED582" t="s">
        <v>3936</v>
      </c>
      <c r="EE582" t="s">
        <v>3797</v>
      </c>
    </row>
    <row r="583" spans="124:135">
      <c r="DT583" s="351"/>
      <c r="ED583" t="s">
        <v>3937</v>
      </c>
      <c r="EE583" t="s">
        <v>3799</v>
      </c>
    </row>
    <row r="584" spans="124:135">
      <c r="DT584" s="351"/>
      <c r="ED584" t="s">
        <v>3938</v>
      </c>
      <c r="EE584" t="s">
        <v>3801</v>
      </c>
    </row>
    <row r="585" spans="124:135">
      <c r="DT585" s="286"/>
      <c r="ED585" t="s">
        <v>3939</v>
      </c>
      <c r="EE585" t="s">
        <v>3803</v>
      </c>
    </row>
    <row r="586" spans="124:135">
      <c r="DT586" s="352"/>
      <c r="ED586" t="s">
        <v>3940</v>
      </c>
      <c r="EE586" t="s">
        <v>3805</v>
      </c>
    </row>
    <row r="587" spans="124:135">
      <c r="DT587" s="351"/>
      <c r="ED587" t="s">
        <v>3941</v>
      </c>
      <c r="EE587" t="s">
        <v>3807</v>
      </c>
    </row>
    <row r="588" spans="124:135">
      <c r="DT588" s="351"/>
      <c r="ED588" t="s">
        <v>3942</v>
      </c>
      <c r="EE588" t="s">
        <v>3809</v>
      </c>
    </row>
    <row r="589" spans="124:135">
      <c r="DT589" s="351"/>
      <c r="ED589" t="s">
        <v>3943</v>
      </c>
      <c r="EE589" t="s">
        <v>3811</v>
      </c>
    </row>
    <row r="590" spans="124:135">
      <c r="DT590" s="286"/>
      <c r="ED590" t="s">
        <v>3944</v>
      </c>
      <c r="EE590" t="s">
        <v>3813</v>
      </c>
    </row>
    <row r="591" spans="124:135">
      <c r="DT591" s="352"/>
      <c r="ED591" t="s">
        <v>3945</v>
      </c>
      <c r="EE591" t="s">
        <v>3815</v>
      </c>
    </row>
    <row r="592" spans="124:135">
      <c r="DT592" s="352"/>
      <c r="ED592" t="s">
        <v>3946</v>
      </c>
      <c r="EE592" t="s">
        <v>3817</v>
      </c>
    </row>
    <row r="593" spans="124:135">
      <c r="DT593" s="352"/>
      <c r="DV593" s="351"/>
      <c r="DW593" s="352"/>
      <c r="DX593" s="286"/>
      <c r="ED593" t="s">
        <v>3947</v>
      </c>
      <c r="EE593" t="s">
        <v>3690</v>
      </c>
    </row>
    <row r="594" spans="124:135">
      <c r="DT594" s="352"/>
      <c r="DV594" s="351"/>
      <c r="DW594" s="352"/>
      <c r="DX594" s="286"/>
      <c r="ED594" t="s">
        <v>3948</v>
      </c>
      <c r="EE594" t="s">
        <v>3692</v>
      </c>
    </row>
    <row r="595" spans="124:135">
      <c r="DT595" s="351"/>
      <c r="ED595" t="s">
        <v>3949</v>
      </c>
      <c r="EE595" t="s">
        <v>3694</v>
      </c>
    </row>
    <row r="596" spans="124:135">
      <c r="DT596" s="351"/>
      <c r="ED596" t="s">
        <v>3950</v>
      </c>
      <c r="EE596" t="s">
        <v>3696</v>
      </c>
    </row>
    <row r="597" spans="124:135">
      <c r="DT597" s="352"/>
      <c r="ED597" t="s">
        <v>3951</v>
      </c>
      <c r="EE597" t="s">
        <v>3698</v>
      </c>
    </row>
    <row r="598" spans="124:135">
      <c r="DT598" s="352"/>
      <c r="ED598" t="s">
        <v>3952</v>
      </c>
      <c r="EE598" t="s">
        <v>3700</v>
      </c>
    </row>
    <row r="599" spans="124:135">
      <c r="DT599" s="286"/>
      <c r="ED599" t="s">
        <v>3953</v>
      </c>
      <c r="EE599" t="s">
        <v>3702</v>
      </c>
    </row>
    <row r="600" spans="124:135">
      <c r="DT600" s="286"/>
      <c r="ED600" t="s">
        <v>3954</v>
      </c>
      <c r="EE600" t="s">
        <v>3704</v>
      </c>
    </row>
    <row r="601" spans="124:135">
      <c r="DT601" s="352"/>
      <c r="ED601" t="s">
        <v>3955</v>
      </c>
      <c r="EE601" t="s">
        <v>3706</v>
      </c>
    </row>
    <row r="602" spans="124:135">
      <c r="DT602" s="352"/>
      <c r="ED602" t="s">
        <v>3956</v>
      </c>
      <c r="EE602" t="s">
        <v>3708</v>
      </c>
    </row>
    <row r="603" spans="124:135">
      <c r="DT603" s="352"/>
      <c r="ED603" t="s">
        <v>3957</v>
      </c>
      <c r="EE603" t="s">
        <v>3710</v>
      </c>
    </row>
    <row r="604" spans="124:135">
      <c r="DT604" s="352"/>
      <c r="ED604" t="s">
        <v>3958</v>
      </c>
      <c r="EE604" t="s">
        <v>3712</v>
      </c>
    </row>
    <row r="605" spans="124:135">
      <c r="DT605" s="351"/>
      <c r="ED605" t="s">
        <v>3959</v>
      </c>
      <c r="EE605" t="s">
        <v>3714</v>
      </c>
    </row>
    <row r="606" spans="124:135">
      <c r="DT606" s="351"/>
      <c r="ED606" t="s">
        <v>3960</v>
      </c>
      <c r="EE606" t="s">
        <v>3716</v>
      </c>
    </row>
    <row r="607" spans="124:135">
      <c r="DT607" s="352"/>
      <c r="ED607" t="s">
        <v>3961</v>
      </c>
      <c r="EE607" t="s">
        <v>3718</v>
      </c>
    </row>
    <row r="608" spans="124:135">
      <c r="DT608" s="352"/>
      <c r="ED608" t="s">
        <v>3962</v>
      </c>
      <c r="EE608" t="s">
        <v>3720</v>
      </c>
    </row>
    <row r="609" spans="124:135">
      <c r="DT609" s="286"/>
      <c r="ED609" t="s">
        <v>3963</v>
      </c>
      <c r="EE609" t="s">
        <v>3722</v>
      </c>
    </row>
    <row r="610" spans="124:135">
      <c r="DT610" s="286"/>
      <c r="ED610" t="s">
        <v>3964</v>
      </c>
      <c r="EE610" t="s">
        <v>3724</v>
      </c>
    </row>
    <row r="611" spans="124:135">
      <c r="DT611" s="351"/>
      <c r="ED611" t="s">
        <v>3965</v>
      </c>
      <c r="EE611" t="s">
        <v>3726</v>
      </c>
    </row>
    <row r="612" spans="124:135">
      <c r="DT612" s="351"/>
      <c r="ED612" t="s">
        <v>3966</v>
      </c>
      <c r="EE612" t="s">
        <v>3727</v>
      </c>
    </row>
    <row r="613" spans="124:135">
      <c r="DT613" s="351"/>
      <c r="ED613" t="s">
        <v>3967</v>
      </c>
      <c r="EE613" t="s">
        <v>3729</v>
      </c>
    </row>
    <row r="614" spans="124:135">
      <c r="DT614" s="351"/>
      <c r="ED614" t="s">
        <v>3968</v>
      </c>
      <c r="EE614" t="s">
        <v>3731</v>
      </c>
    </row>
    <row r="615" spans="124:135">
      <c r="DT615" s="286"/>
      <c r="ED615" t="s">
        <v>3969</v>
      </c>
      <c r="EE615" t="s">
        <v>3733</v>
      </c>
    </row>
    <row r="616" spans="124:135">
      <c r="DT616" s="351"/>
      <c r="ED616" t="s">
        <v>3970</v>
      </c>
      <c r="EE616" t="s">
        <v>3735</v>
      </c>
    </row>
    <row r="617" spans="124:135">
      <c r="DT617" s="351"/>
      <c r="ED617" t="s">
        <v>3971</v>
      </c>
      <c r="EE617" t="s">
        <v>3737</v>
      </c>
    </row>
    <row r="618" spans="124:135">
      <c r="DT618" s="351"/>
      <c r="ED618" t="s">
        <v>3972</v>
      </c>
      <c r="EE618" t="s">
        <v>3739</v>
      </c>
    </row>
    <row r="619" spans="124:135">
      <c r="DT619" s="351"/>
      <c r="ED619" t="s">
        <v>3973</v>
      </c>
      <c r="EE619" t="s">
        <v>3741</v>
      </c>
    </row>
    <row r="620" spans="124:135">
      <c r="DT620" s="286"/>
      <c r="ED620" t="s">
        <v>3974</v>
      </c>
      <c r="EE620" t="s">
        <v>3743</v>
      </c>
    </row>
    <row r="621" spans="124:135">
      <c r="DT621" s="337"/>
      <c r="ED621" t="s">
        <v>3975</v>
      </c>
      <c r="EE621" t="s">
        <v>3745</v>
      </c>
    </row>
    <row r="622" spans="124:135">
      <c r="DT622" s="337"/>
      <c r="ED622" t="s">
        <v>3976</v>
      </c>
      <c r="EE622" t="s">
        <v>3747</v>
      </c>
    </row>
    <row r="623" spans="124:135">
      <c r="DT623" s="351"/>
      <c r="ED623" t="s">
        <v>3977</v>
      </c>
      <c r="EE623" t="s">
        <v>3749</v>
      </c>
    </row>
    <row r="624" spans="124:135">
      <c r="DT624" s="351"/>
      <c r="ED624" t="s">
        <v>3978</v>
      </c>
      <c r="EE624" t="s">
        <v>3751</v>
      </c>
    </row>
    <row r="625" spans="124:135">
      <c r="DT625" s="334"/>
      <c r="ED625" t="s">
        <v>3979</v>
      </c>
      <c r="EE625" t="s">
        <v>3753</v>
      </c>
    </row>
    <row r="626" spans="124:135">
      <c r="DT626" s="286"/>
      <c r="ED626" t="s">
        <v>3980</v>
      </c>
      <c r="EE626" t="s">
        <v>3755</v>
      </c>
    </row>
    <row r="627" spans="124:135">
      <c r="DT627" s="286"/>
      <c r="ED627" t="s">
        <v>3981</v>
      </c>
      <c r="EE627" t="s">
        <v>3757</v>
      </c>
    </row>
    <row r="628" spans="124:135">
      <c r="DT628" s="286"/>
      <c r="ED628" t="s">
        <v>3982</v>
      </c>
      <c r="EE628" t="s">
        <v>3759</v>
      </c>
    </row>
    <row r="629" spans="124:135">
      <c r="DT629" s="334"/>
      <c r="ED629" t="s">
        <v>3983</v>
      </c>
      <c r="EE629" t="s">
        <v>3761</v>
      </c>
    </row>
    <row r="630" spans="124:135">
      <c r="DT630" s="286"/>
      <c r="ED630" t="s">
        <v>3984</v>
      </c>
      <c r="EE630" t="s">
        <v>3763</v>
      </c>
    </row>
    <row r="631" spans="124:135">
      <c r="DT631" s="351"/>
      <c r="ED631" t="s">
        <v>3985</v>
      </c>
      <c r="EE631" t="s">
        <v>3765</v>
      </c>
    </row>
    <row r="632" spans="124:135">
      <c r="DT632" s="351"/>
      <c r="ED632" t="s">
        <v>3986</v>
      </c>
      <c r="EE632" t="s">
        <v>3767</v>
      </c>
    </row>
    <row r="633" spans="124:135">
      <c r="DT633" s="334"/>
      <c r="ED633" t="s">
        <v>3987</v>
      </c>
      <c r="EE633" t="s">
        <v>3769</v>
      </c>
    </row>
    <row r="634" spans="124:135">
      <c r="DT634" s="351"/>
      <c r="ED634" t="s">
        <v>3988</v>
      </c>
      <c r="EE634" t="s">
        <v>3771</v>
      </c>
    </row>
    <row r="635" spans="124:135">
      <c r="DT635" s="286"/>
      <c r="ED635" t="s">
        <v>3989</v>
      </c>
      <c r="EE635" t="s">
        <v>3773</v>
      </c>
    </row>
    <row r="636" spans="124:135">
      <c r="DT636" s="334"/>
      <c r="DU636" s="286"/>
      <c r="ED636" t="s">
        <v>3990</v>
      </c>
      <c r="EE636" t="s">
        <v>3775</v>
      </c>
    </row>
    <row r="637" spans="124:135">
      <c r="DT637" s="334"/>
      <c r="DU637" s="286"/>
      <c r="ED637" t="s">
        <v>3991</v>
      </c>
      <c r="EE637" t="s">
        <v>3777</v>
      </c>
    </row>
    <row r="638" spans="124:135">
      <c r="DT638" s="334"/>
      <c r="DU638" s="286"/>
      <c r="ED638" t="s">
        <v>3992</v>
      </c>
      <c r="EE638" t="s">
        <v>3779</v>
      </c>
    </row>
    <row r="639" spans="124:135">
      <c r="DT639" s="286"/>
      <c r="DU639" s="286"/>
      <c r="ED639" t="s">
        <v>3993</v>
      </c>
      <c r="EE639" t="s">
        <v>3781</v>
      </c>
    </row>
    <row r="640" spans="124:135">
      <c r="DT640" s="362"/>
      <c r="DU640" s="362"/>
      <c r="ED640" t="s">
        <v>3994</v>
      </c>
      <c r="EE640" t="s">
        <v>3783</v>
      </c>
    </row>
    <row r="641" spans="124:135">
      <c r="DT641" s="330"/>
      <c r="DU641" s="362"/>
      <c r="ED641" t="s">
        <v>3995</v>
      </c>
      <c r="EE641" t="s">
        <v>3785</v>
      </c>
    </row>
    <row r="642" spans="124:135">
      <c r="DT642" s="338"/>
      <c r="DU642" s="338"/>
      <c r="DX642" s="365"/>
      <c r="ED642" t="s">
        <v>3996</v>
      </c>
      <c r="EE642" t="s">
        <v>3787</v>
      </c>
    </row>
    <row r="643" spans="124:135">
      <c r="DT643" s="338"/>
      <c r="DU643" s="338"/>
      <c r="DX643" s="338"/>
      <c r="ED643" t="s">
        <v>3997</v>
      </c>
      <c r="EE643" t="s">
        <v>3789</v>
      </c>
    </row>
    <row r="644" spans="124:135">
      <c r="DT644" s="338"/>
      <c r="DU644" s="338"/>
      <c r="DX644" s="374"/>
      <c r="ED644" t="s">
        <v>3998</v>
      </c>
      <c r="EE644" t="s">
        <v>3791</v>
      </c>
    </row>
    <row r="645" spans="124:135">
      <c r="DT645" s="338"/>
      <c r="DU645" s="338"/>
      <c r="DX645" s="338"/>
      <c r="ED645" t="s">
        <v>3999</v>
      </c>
      <c r="EE645" t="s">
        <v>3793</v>
      </c>
    </row>
    <row r="646" spans="124:135">
      <c r="DT646" s="338"/>
      <c r="DU646" s="338"/>
      <c r="ED646" t="s">
        <v>4000</v>
      </c>
      <c r="EE646" t="s">
        <v>3795</v>
      </c>
    </row>
    <row r="647" spans="124:135">
      <c r="DT647" s="338"/>
      <c r="DU647" s="338"/>
      <c r="ED647" t="s">
        <v>4001</v>
      </c>
      <c r="EE647" t="s">
        <v>3797</v>
      </c>
    </row>
    <row r="648" spans="124:135">
      <c r="DT648" s="338"/>
      <c r="DU648" s="338"/>
      <c r="ED648" t="s">
        <v>4002</v>
      </c>
      <c r="EE648" t="s">
        <v>3799</v>
      </c>
    </row>
    <row r="649" spans="124:135">
      <c r="DT649" s="338"/>
      <c r="DU649" s="338"/>
      <c r="ED649" t="s">
        <v>4003</v>
      </c>
      <c r="EE649" t="s">
        <v>3801</v>
      </c>
    </row>
    <row r="650" spans="124:135">
      <c r="DT650" s="338"/>
      <c r="DU650" s="338"/>
      <c r="ED650" t="s">
        <v>4004</v>
      </c>
      <c r="EE650" t="s">
        <v>3803</v>
      </c>
    </row>
    <row r="651" spans="124:135">
      <c r="DT651" s="338"/>
      <c r="DU651" s="338"/>
      <c r="ED651" t="s">
        <v>4005</v>
      </c>
      <c r="EE651" t="s">
        <v>3805</v>
      </c>
    </row>
    <row r="652" spans="124:135">
      <c r="DT652" s="338"/>
      <c r="DU652" s="338"/>
      <c r="ED652" t="s">
        <v>4006</v>
      </c>
      <c r="EE652" t="s">
        <v>3807</v>
      </c>
    </row>
    <row r="653" spans="124:135">
      <c r="DT653" s="338"/>
      <c r="DU653" s="338"/>
      <c r="ED653" t="s">
        <v>4007</v>
      </c>
      <c r="EE653" t="s">
        <v>3809</v>
      </c>
    </row>
    <row r="654" spans="124:135">
      <c r="DT654" s="338"/>
      <c r="DU654" s="338"/>
      <c r="ED654" t="s">
        <v>4008</v>
      </c>
      <c r="EE654" t="s">
        <v>3811</v>
      </c>
    </row>
    <row r="655" spans="124:135">
      <c r="DT655" s="338"/>
      <c r="DU655" s="338"/>
      <c r="ED655" t="s">
        <v>4009</v>
      </c>
      <c r="EE655" t="s">
        <v>3813</v>
      </c>
    </row>
    <row r="656" spans="124:135">
      <c r="DT656" s="338"/>
      <c r="DU656" s="338"/>
      <c r="ED656" t="s">
        <v>4010</v>
      </c>
      <c r="EE656" t="s">
        <v>3815</v>
      </c>
    </row>
    <row r="657" spans="124:135">
      <c r="DT657" s="338"/>
      <c r="DU657" s="338"/>
      <c r="ED657" t="s">
        <v>4011</v>
      </c>
      <c r="EE657" t="s">
        <v>3817</v>
      </c>
    </row>
    <row r="658" spans="124:135">
      <c r="DT658" s="338"/>
      <c r="DU658" s="365"/>
    </row>
    <row r="659" spans="124:135">
      <c r="DT659" s="338"/>
      <c r="DU659" s="365"/>
    </row>
    <row r="660" spans="124:135">
      <c r="DT660" s="338"/>
      <c r="DU660" s="365"/>
    </row>
    <row r="661" spans="124:135">
      <c r="DT661" s="338"/>
      <c r="DU661" s="365"/>
    </row>
    <row r="662" spans="124:135">
      <c r="DT662" s="366"/>
      <c r="DU662" s="365"/>
    </row>
    <row r="663" spans="124:135">
      <c r="DT663" s="366"/>
      <c r="DU663" s="365"/>
    </row>
    <row r="664" spans="124:135">
      <c r="DT664" s="366"/>
      <c r="DU664" s="365"/>
    </row>
    <row r="665" spans="124:135">
      <c r="DT665" s="366"/>
      <c r="DU665" s="365"/>
    </row>
    <row r="666" spans="124:135">
      <c r="DT666" s="168"/>
      <c r="DU666" s="365"/>
    </row>
    <row r="667" spans="124:135">
      <c r="DT667" s="168"/>
      <c r="DU667" s="365"/>
    </row>
    <row r="668" spans="124:135">
      <c r="DT668" s="168"/>
      <c r="DU668" s="365"/>
    </row>
    <row r="669" spans="124:135">
      <c r="DT669" s="168"/>
      <c r="DU669" s="365"/>
    </row>
    <row r="670" spans="124:135">
      <c r="DT670" s="365"/>
      <c r="DU670" s="365"/>
    </row>
    <row r="671" spans="124:135">
      <c r="DT671" s="365"/>
      <c r="DU671" s="365"/>
    </row>
    <row r="672" spans="124:135">
      <c r="DT672" s="365"/>
      <c r="DU672" s="365"/>
    </row>
    <row r="673" spans="124:125">
      <c r="DT673" s="365"/>
      <c r="DU673" s="365"/>
    </row>
  </sheetData>
  <conditionalFormatting sqref="A3:A15">
    <cfRule type="expression" dxfId="264"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263" priority="3" stopIfTrue="1">
      <formula>AND(COUNTIF($A$37:$A$41, A17)+COUNTIF($A$3:$A$15, A17)+COUNTIF($A$17:$A$31, A17)+COUNTIF($A$33:$A$35, A17)+COUNTIF($A$43:$A$47, A17)+COUNTIF($A$49:$A$54, A17)+COUNTIF($A$56:$A$99, A17)&gt;1,NOT(ISBLANK(A17)))</formula>
    </cfRule>
  </conditionalFormatting>
  <conditionalFormatting sqref="A34 A54 A56 A62:A65">
    <cfRule type="expression" dxfId="262" priority="2" stopIfTrue="1">
      <formula>AND(COUNTIF($A$54:$A$54, A34)+COUNTIF($A$56:$A$59, A34)+COUNTIF($A$34:$A$34, A34)&gt;1,NOT(ISBLANK(A34)))</formula>
    </cfRule>
  </conditionalFormatting>
  <conditionalFormatting sqref="A72:A99 DW346:DW347">
    <cfRule type="expression" dxfId="261" priority="683" stopIfTrue="1">
      <formula>AND(COUNTIF($A$38:$A$42, A72)+COUNTIF($A$3:$A$15, A72)+COUNTIF($A$17:$A$31, A72)+COUNTIF($A$34:$A$36, A72)+COUNTIF($A$44:$A$48, A72)+COUNTIF($A$50:$A$55, A72)+COUNTIF($A$57:$A$99, A72)&gt;1,NOT(ISBLANK(A72)))</formula>
    </cfRule>
  </conditionalFormatting>
  <conditionalFormatting sqref="F14:F19">
    <cfRule type="duplicateValues" dxfId="260" priority="17"/>
  </conditionalFormatting>
  <conditionalFormatting sqref="P2:P61 P63:P65536">
    <cfRule type="expression" dxfId="259" priority="33" stopIfTrue="1">
      <formula>AND(COUNTIF($P$63:$P$65536, P2)+COUNTIF($P$2:$P$61, P2)&gt;1,NOT(ISBLANK(P2)))</formula>
    </cfRule>
  </conditionalFormatting>
  <conditionalFormatting sqref="Q2 Q4 Q6:Q12 Q15:Q20 Q22:Q23 Q26:Q54 S27:S30 Q68:Q65536">
    <cfRule type="expression" dxfId="258" priority="43" stopIfTrue="1">
      <formula>AND(COUNTIF($Q$68:$Q$65536, Q2)+COUNTIF($Q$2:$Q$2, Q2)+COUNTIF($Q$4:$Q$4, Q2)+COUNTIF($Q$6:$Q$54, Q2)&gt;1,NOT(ISBLANK(Q2)))</formula>
    </cfRule>
  </conditionalFormatting>
  <conditionalFormatting sqref="R4:R6">
    <cfRule type="duplicateValues" dxfId="257" priority="28"/>
  </conditionalFormatting>
  <conditionalFormatting sqref="R7 R9">
    <cfRule type="duplicateValues" dxfId="256" priority="40"/>
  </conditionalFormatting>
  <conditionalFormatting sqref="R10">
    <cfRule type="duplicateValues" dxfId="255" priority="27"/>
  </conditionalFormatting>
  <conditionalFormatting sqref="R11:R18 R29:R33">
    <cfRule type="duplicateValues" dxfId="254" priority="42"/>
  </conditionalFormatting>
  <conditionalFormatting sqref="R19:R20 R37:R39 R34">
    <cfRule type="duplicateValues" dxfId="253" priority="36"/>
  </conditionalFormatting>
  <conditionalFormatting sqref="R21:R23">
    <cfRule type="duplicateValues" dxfId="252" priority="26"/>
  </conditionalFormatting>
  <conditionalFormatting sqref="R49:R55">
    <cfRule type="duplicateValues" dxfId="251" priority="29"/>
  </conditionalFormatting>
  <conditionalFormatting sqref="R49:R61 R2 R63:R65536">
    <cfRule type="expression" dxfId="250" priority="32" stopIfTrue="1">
      <formula>AND(COUNTIF($R$2:$R$2, R2)+COUNTIF($R$63:$R$65536, R2)+COUNTIF($R$49:$R$61, R2)&gt;1,NOT(ISBLANK(R2)))</formula>
    </cfRule>
  </conditionalFormatting>
  <conditionalFormatting sqref="R56:R57">
    <cfRule type="duplicateValues" dxfId="249" priority="30"/>
  </conditionalFormatting>
  <conditionalFormatting sqref="R58:R61 R63">
    <cfRule type="expression" dxfId="248" priority="34" stopIfTrue="1">
      <formula>AND(COUNTIF($R$63:$R$63, R58)+COUNTIF($R$58:$R$61, R58)&gt;1,NOT(ISBLANK(R58)))</formula>
    </cfRule>
  </conditionalFormatting>
  <conditionalFormatting sqref="S4">
    <cfRule type="duplicateValues" dxfId="247" priority="25"/>
  </conditionalFormatting>
  <conditionalFormatting sqref="S6:S8 S10">
    <cfRule type="duplicateValues" dxfId="246" priority="47"/>
  </conditionalFormatting>
  <conditionalFormatting sqref="S12:S17">
    <cfRule type="duplicateValues" dxfId="245" priority="24"/>
  </conditionalFormatting>
  <conditionalFormatting sqref="S18:S19">
    <cfRule type="duplicateValues" dxfId="244" priority="23"/>
  </conditionalFormatting>
  <conditionalFormatting sqref="S20:S26">
    <cfRule type="duplicateValues" dxfId="243" priority="41"/>
  </conditionalFormatting>
  <conditionalFormatting sqref="S31:S52">
    <cfRule type="duplicateValues" dxfId="242" priority="46"/>
  </conditionalFormatting>
  <conditionalFormatting sqref="T4">
    <cfRule type="duplicateValues" dxfId="241" priority="22"/>
  </conditionalFormatting>
  <conditionalFormatting sqref="U4:U6">
    <cfRule type="duplicateValues" dxfId="240" priority="21"/>
  </conditionalFormatting>
  <conditionalFormatting sqref="U7:U14 U26:U30">
    <cfRule type="duplicateValues" dxfId="239" priority="44"/>
  </conditionalFormatting>
  <conditionalFormatting sqref="U15:U16 U31:U32">
    <cfRule type="duplicateValues" dxfId="238" priority="37"/>
  </conditionalFormatting>
  <conditionalFormatting sqref="U17:U19">
    <cfRule type="duplicateValues" dxfId="237" priority="20"/>
  </conditionalFormatting>
  <conditionalFormatting sqref="V4:V6">
    <cfRule type="duplicateValues" dxfId="236" priority="19"/>
  </conditionalFormatting>
  <conditionalFormatting sqref="V17:V19">
    <cfRule type="duplicateValues" dxfId="235" priority="18"/>
  </conditionalFormatting>
  <conditionalFormatting sqref="V21:V30 V7:V14">
    <cfRule type="duplicateValues" dxfId="234" priority="45"/>
  </conditionalFormatting>
  <conditionalFormatting sqref="V31:V32 V15:V16">
    <cfRule type="duplicateValues" dxfId="233" priority="38"/>
  </conditionalFormatting>
  <conditionalFormatting sqref="AC4:AC13 AC15:AC23 AC29:AC34 AC40:AC41 AC43:AC45 AC50:AC53 AC60:AC63">
    <cfRule type="cellIs" dxfId="232" priority="31" operator="equal">
      <formula>1</formula>
    </cfRule>
  </conditionalFormatting>
  <conditionalFormatting sqref="BQ9:BQ10">
    <cfRule type="duplicateValues" dxfId="231" priority="15"/>
  </conditionalFormatting>
  <conditionalFormatting sqref="BQ2:BR2">
    <cfRule type="duplicateValues" dxfId="230" priority="16"/>
  </conditionalFormatting>
  <conditionalFormatting sqref="DT2:DT44">
    <cfRule type="duplicateValues" dxfId="227" priority="9"/>
  </conditionalFormatting>
  <conditionalFormatting sqref="DT2:DT570">
    <cfRule type="duplicateValues" dxfId="226" priority="4"/>
  </conditionalFormatting>
  <conditionalFormatting sqref="DT45:DT87">
    <cfRule type="duplicateValues" dxfId="225" priority="7"/>
  </conditionalFormatting>
  <conditionalFormatting sqref="DT88:DT130">
    <cfRule type="duplicateValues" dxfId="224" priority="8"/>
  </conditionalFormatting>
  <conditionalFormatting sqref="DT131:DT173">
    <cfRule type="duplicateValues" dxfId="223" priority="10"/>
  </conditionalFormatting>
  <conditionalFormatting sqref="DT174:DT217">
    <cfRule type="duplicateValues" dxfId="222" priority="11"/>
  </conditionalFormatting>
  <conditionalFormatting sqref="DT257:DT287">
    <cfRule type="duplicateValues" dxfId="221" priority="14"/>
  </conditionalFormatting>
  <conditionalFormatting sqref="DU257:DU286">
    <cfRule type="duplicateValues" dxfId="220" priority="13"/>
  </conditionalFormatting>
  <conditionalFormatting sqref="DU287">
    <cfRule type="duplicateValues" dxfId="219"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6CEC3694-A249-4384-A768-23831A5FB0EB}">
            <xm:f>OR(Ram_6!$AU$10=1,Ram_6!$AU$10=3)</xm:f>
            <x14:dxf>
              <fill>
                <patternFill patternType="darkDown"/>
              </fill>
            </x14:dxf>
          </x14:cfRule>
          <xm:sqref>CH13</xm:sqref>
        </x14:conditionalFormatting>
        <x14:conditionalFormatting xmlns:xm="http://schemas.microsoft.com/office/excel/2006/main">
          <x14:cfRule type="expression" priority="6" id="{A11D4B68-F7CB-4421-AD27-772895D60A8F}">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DAE0-27D8-4272-8942-BCB5406661C4}">
  <sheetPr codeName="List11">
    <tabColor rgb="FF00B0F0"/>
  </sheetPr>
  <dimension ref="A1:AV138"/>
  <sheetViews>
    <sheetView workbookViewId="0"/>
  </sheetViews>
  <sheetFormatPr defaultColWidth="0" defaultRowHeight="14.85" customHeight="1" zeroHeight="1"/>
  <cols>
    <col min="1" max="2" width="9.42578125" style="196" customWidth="1"/>
    <col min="3" max="7" width="7" style="1" customWidth="1"/>
    <col min="8" max="8" width="5.42578125" style="1" customWidth="1"/>
    <col min="9" max="14" width="7.140625" style="1" customWidth="1"/>
    <col min="15" max="17" width="5.5703125" style="1" customWidth="1"/>
    <col min="18" max="18" width="4.42578125" style="1" customWidth="1"/>
    <col min="19" max="21" width="5.42578125" style="1" customWidth="1"/>
    <col min="22" max="22" width="3.42578125" style="1" customWidth="1"/>
    <col min="23" max="28" width="5.42578125" style="1" customWidth="1"/>
    <col min="29" max="29" width="3.42578125" style="1" customWidth="1"/>
    <col min="30" max="30" width="5.42578125" style="82" customWidth="1"/>
    <col min="31" max="31" width="5.42578125" style="77" customWidth="1"/>
    <col min="32" max="36" width="5.42578125" style="1" customWidth="1"/>
    <col min="37" max="37" width="3.42578125" style="1" customWidth="1"/>
    <col min="38" max="38" width="5.42578125" style="1" customWidth="1"/>
    <col min="39" max="39" width="3.42578125" style="1" customWidth="1"/>
    <col min="40" max="40" width="5.42578125" style="1" customWidth="1"/>
    <col min="41" max="41" width="2.5703125" style="1" hidden="1" customWidth="1"/>
    <col min="42" max="46" width="8.5703125" style="1" hidden="1" customWidth="1"/>
    <col min="47" max="48" width="8.5703125" style="81" hidden="1" customWidth="1"/>
    <col min="49" max="55" width="8.5703125" style="1" hidden="1" customWidth="1"/>
    <col min="56" max="16384" width="8.5703125" style="1" hidden="1"/>
  </cols>
  <sheetData>
    <row r="1" spans="1:41" ht="15">
      <c r="A1" s="194"/>
      <c r="B1" s="194"/>
      <c r="C1" s="174"/>
      <c r="D1" s="174"/>
      <c r="E1" s="174"/>
      <c r="F1" s="174"/>
      <c r="G1" s="174"/>
      <c r="H1" s="174"/>
      <c r="I1" s="174"/>
      <c r="J1" s="174"/>
      <c r="K1" s="174"/>
      <c r="L1" s="174"/>
      <c r="M1" s="174"/>
      <c r="N1" s="174"/>
      <c r="O1" s="174"/>
      <c r="P1" s="174"/>
      <c r="Q1" s="174"/>
      <c r="R1" s="174"/>
      <c r="S1" s="174"/>
      <c r="T1" s="174"/>
      <c r="U1" s="174"/>
    </row>
    <row r="2" spans="1:41" ht="15">
      <c r="A2" s="195"/>
      <c r="B2" s="19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1"/>
      <c r="AE2" s="122"/>
      <c r="AF2" s="120"/>
      <c r="AG2" s="120"/>
      <c r="AH2" s="120"/>
      <c r="AI2" s="120"/>
      <c r="AJ2" s="120"/>
      <c r="AK2" s="691" t="str">
        <f>'Translate&amp;Prices&amp;Logo'!$B$540</f>
        <v>Main page</v>
      </c>
      <c r="AL2" s="692"/>
      <c r="AM2" s="692"/>
      <c r="AN2" s="692"/>
    </row>
    <row r="3" spans="1:41" ht="15">
      <c r="A3" s="195"/>
      <c r="B3" s="19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1"/>
      <c r="AE3" s="122"/>
      <c r="AF3" s="120"/>
      <c r="AG3" s="120"/>
      <c r="AH3" s="120"/>
      <c r="AI3" s="120"/>
      <c r="AJ3" s="120"/>
      <c r="AK3" s="691"/>
      <c r="AL3" s="692"/>
      <c r="AM3" s="692"/>
      <c r="AN3" s="692"/>
    </row>
    <row r="4" spans="1:41" ht="6.6" customHeight="1">
      <c r="A4" s="194"/>
      <c r="B4" s="194"/>
      <c r="C4" s="174"/>
      <c r="D4" s="174"/>
      <c r="E4" s="174"/>
      <c r="F4" s="174"/>
      <c r="G4" s="174"/>
      <c r="H4" s="174"/>
      <c r="I4" s="174"/>
      <c r="P4" s="693" t="str">
        <f>'Translate&amp;Prices&amp;Logo'!$B$169&amp;" "&amp;" "&amp;2</f>
        <v>Frame  2</v>
      </c>
      <c r="Q4" s="693"/>
      <c r="R4" s="693"/>
      <c r="S4" s="693"/>
      <c r="T4" s="693"/>
      <c r="U4" s="693"/>
      <c r="V4" s="693"/>
      <c r="W4" s="693"/>
      <c r="X4" s="693"/>
      <c r="Y4" s="693"/>
      <c r="Z4" s="693"/>
      <c r="AA4" s="693"/>
      <c r="AB4" s="693"/>
      <c r="AC4" s="693"/>
    </row>
    <row r="5" spans="1:41" ht="15" customHeight="1">
      <c r="A5" s="194"/>
      <c r="B5" s="194"/>
      <c r="C5" s="174"/>
      <c r="D5" s="174"/>
      <c r="E5" s="174"/>
      <c r="F5" s="174"/>
      <c r="G5" s="174"/>
      <c r="H5" s="174"/>
      <c r="I5" s="174"/>
      <c r="P5" s="693"/>
      <c r="Q5" s="693"/>
      <c r="R5" s="693"/>
      <c r="S5" s="693"/>
      <c r="T5" s="693"/>
      <c r="U5" s="693"/>
      <c r="V5" s="693"/>
      <c r="W5" s="693"/>
      <c r="X5" s="693"/>
      <c r="Y5" s="693"/>
      <c r="Z5" s="693"/>
      <c r="AA5" s="693"/>
      <c r="AB5" s="693"/>
      <c r="AC5" s="693"/>
    </row>
    <row r="6" spans="1:41" ht="15">
      <c r="A6" s="194"/>
      <c r="B6" s="194"/>
      <c r="C6" s="174"/>
      <c r="D6" s="174"/>
      <c r="E6" s="174"/>
      <c r="F6" s="174"/>
      <c r="G6" s="174"/>
      <c r="H6" s="174"/>
      <c r="I6" s="174"/>
      <c r="J6" s="174"/>
      <c r="K6" s="174"/>
      <c r="L6" s="174"/>
      <c r="M6" s="174"/>
      <c r="N6" s="174"/>
      <c r="O6" s="174"/>
      <c r="P6" s="174"/>
      <c r="Q6" s="174"/>
      <c r="R6" s="174"/>
      <c r="S6" s="174"/>
      <c r="T6" s="174"/>
      <c r="U6" s="174"/>
    </row>
    <row r="7" spans="1:41" ht="14.85" hidden="1" customHeight="1">
      <c r="A7" s="194"/>
      <c r="B7" s="194"/>
      <c r="D7" s="176"/>
      <c r="E7" s="176"/>
      <c r="F7" s="176"/>
      <c r="G7" s="176"/>
      <c r="H7" s="176"/>
      <c r="I7" s="176"/>
      <c r="J7" s="174"/>
      <c r="K7" s="174"/>
      <c r="L7" s="174"/>
    </row>
    <row r="8" spans="1:41" ht="14.85" customHeight="1" thickBot="1">
      <c r="A8" s="194"/>
      <c r="B8" s="194"/>
      <c r="C8" s="174"/>
      <c r="D8" s="174"/>
      <c r="E8" s="174"/>
      <c r="F8" s="174"/>
      <c r="G8" s="174"/>
      <c r="H8" s="174"/>
      <c r="I8" s="174"/>
      <c r="J8" s="174"/>
      <c r="K8" s="174"/>
      <c r="L8" s="174"/>
      <c r="M8" s="174"/>
      <c r="N8" s="174"/>
      <c r="O8" s="174"/>
      <c r="P8" s="694" t="str">
        <f>Ceny_n!$B$500</f>
        <v>Přejít na:</v>
      </c>
      <c r="Q8" s="694"/>
      <c r="R8" s="695" t="str">
        <f>'Translate&amp;Prices&amp;Logo'!$B$169&amp;" "&amp;" "&amp;1</f>
        <v>Frame  1</v>
      </c>
      <c r="S8" s="695"/>
      <c r="T8" s="695"/>
      <c r="U8" s="177"/>
      <c r="V8" s="695" t="str">
        <f>'Translate&amp;Prices&amp;Logo'!$B$169&amp;" "&amp;" "&amp;2</f>
        <v>Frame  2</v>
      </c>
      <c r="W8" s="695"/>
      <c r="X8" s="695"/>
      <c r="Y8" s="177"/>
      <c r="Z8" s="695" t="str">
        <f>'Translate&amp;Prices&amp;Logo'!$B$169&amp;" "&amp;" "&amp;3</f>
        <v>Frame  3</v>
      </c>
      <c r="AA8" s="695"/>
      <c r="AB8" s="695"/>
      <c r="AC8" s="177"/>
      <c r="AD8" s="695" t="str">
        <f>'Translate&amp;Prices&amp;Logo'!$B$169&amp;" "&amp;" "&amp;4</f>
        <v>Frame  4</v>
      </c>
      <c r="AE8" s="695"/>
      <c r="AF8" s="695"/>
      <c r="AG8" s="177"/>
      <c r="AH8" s="695" t="str">
        <f>'Translate&amp;Prices&amp;Logo'!$B$169&amp;" "&amp;" "&amp;5</f>
        <v>Frame  5</v>
      </c>
      <c r="AI8" s="695"/>
      <c r="AJ8" s="695"/>
      <c r="AK8" s="177"/>
      <c r="AL8" s="695" t="str">
        <f>'Translate&amp;Prices&amp;Logo'!$B$169&amp;" "&amp;" "&amp;6</f>
        <v>Frame  6</v>
      </c>
      <c r="AM8" s="695"/>
      <c r="AN8" s="695"/>
      <c r="AO8" s="177"/>
    </row>
    <row r="9" spans="1:41" ht="14.85" hidden="1" customHeight="1" thickTop="1">
      <c r="A9" s="174"/>
      <c r="B9" s="174"/>
    </row>
    <row r="10" spans="1:41" ht="15.75" thickTop="1">
      <c r="A10" s="1"/>
      <c r="B10" s="174"/>
      <c r="C10" s="174"/>
      <c r="D10" s="174"/>
      <c r="E10" s="174"/>
      <c r="F10" s="174"/>
      <c r="G10" s="174"/>
      <c r="H10" s="174"/>
      <c r="I10" s="174"/>
      <c r="J10" s="194"/>
      <c r="K10" s="194"/>
      <c r="L10" s="194"/>
      <c r="M10" s="196"/>
      <c r="N10" s="196"/>
      <c r="O10" s="196"/>
      <c r="P10" s="196"/>
      <c r="Q10" s="196"/>
      <c r="R10" s="196"/>
    </row>
    <row r="11" spans="1:41" ht="15.6" customHeight="1">
      <c r="A11" s="158"/>
      <c r="B11" s="184" t="e">
        <f>VLOOKUP(VLOOKUP(I15,'Translate&amp;Prices&amp;Logo'!B77:C671,2,0),'Translate&amp;Prices&amp;Logo'!B3:D587,3,0)</f>
        <v>#N/A</v>
      </c>
      <c r="C11" s="184" t="e">
        <f>VLOOKUP(VLOOKUP(I15,'Translate&amp;Prices&amp;Logo'!B77:D85,3,0),'Translate&amp;Prices&amp;Logo'!B:D,3,0)</f>
        <v>#N/A</v>
      </c>
      <c r="D11" s="158" t="e">
        <f>B11+C11</f>
        <v>#N/A</v>
      </c>
      <c r="E11" s="185"/>
      <c r="F11" s="158"/>
      <c r="G11" s="184"/>
      <c r="H11" s="184"/>
      <c r="I11" s="184"/>
      <c r="J11" s="184"/>
      <c r="K11" s="184"/>
      <c r="L11" s="184"/>
      <c r="M11" s="158"/>
      <c r="N11" s="158"/>
      <c r="O11" s="158"/>
      <c r="P11" s="158"/>
      <c r="Q11" s="158"/>
      <c r="R11" s="158"/>
      <c r="S11" s="158"/>
      <c r="T11" s="158"/>
      <c r="U11" s="158"/>
      <c r="V11" s="127"/>
      <c r="W11" s="128"/>
      <c r="X11" s="164"/>
      <c r="Y11" s="164"/>
      <c r="Z11" s="128"/>
      <c r="AA11" s="128"/>
      <c r="AB11" s="128"/>
      <c r="AC11" s="128"/>
      <c r="AD11" s="129"/>
      <c r="AE11" s="183"/>
      <c r="AF11" s="128"/>
      <c r="AG11" s="128"/>
      <c r="AH11" s="164"/>
      <c r="AI11" s="164"/>
      <c r="AJ11" s="128"/>
      <c r="AK11" s="130"/>
    </row>
    <row r="12" spans="1:41" ht="18.600000000000001" customHeight="1">
      <c r="A12" s="160"/>
      <c r="B12" s="184" t="s">
        <v>2153</v>
      </c>
      <c r="C12" s="174"/>
      <c r="D12" s="174"/>
      <c r="E12" s="174"/>
      <c r="F12" s="174"/>
      <c r="G12" s="174"/>
      <c r="H12" s="174"/>
      <c r="I12" s="174"/>
      <c r="J12" s="194"/>
      <c r="K12" s="194"/>
      <c r="L12" s="194"/>
      <c r="M12" s="196"/>
      <c r="N12" s="196"/>
      <c r="O12" s="196"/>
      <c r="P12" s="196"/>
      <c r="Q12" s="196"/>
      <c r="R12" s="196"/>
      <c r="S12" s="196"/>
      <c r="V12" s="136"/>
      <c r="W12" s="124"/>
      <c r="X12" s="125"/>
      <c r="Y12" s="125"/>
      <c r="Z12" s="125"/>
      <c r="AA12" s="125"/>
      <c r="AB12" s="153"/>
      <c r="AC12" s="153"/>
      <c r="AD12" s="154"/>
      <c r="AE12" s="698">
        <v>0</v>
      </c>
      <c r="AF12" s="125"/>
      <c r="AG12" s="125"/>
      <c r="AH12" s="125"/>
      <c r="AI12" s="125"/>
      <c r="AJ12" s="126"/>
      <c r="AK12" s="131"/>
    </row>
    <row r="13" spans="1:41" ht="15" customHeight="1">
      <c r="A13" s="159" t="s">
        <v>2160</v>
      </c>
      <c r="B13" s="159">
        <f>IFERROR(IF(kombinace_2!$H$1=TRUE,F14+D11,0),0)</f>
        <v>0</v>
      </c>
      <c r="C13" s="521" t="str">
        <f>'Translate&amp;Prices&amp;Logo'!$B$542</f>
        <v>Combination of 2 Profiles</v>
      </c>
      <c r="D13" s="521"/>
      <c r="E13" s="521"/>
      <c r="F13" s="521"/>
      <c r="G13" s="521"/>
      <c r="H13" s="171"/>
      <c r="I13" s="699" t="str">
        <f>'Translate&amp;Prices&amp;Logo'!$B$561</f>
        <v>Frame composed of two different profiles</v>
      </c>
      <c r="J13" s="699"/>
      <c r="K13" s="699"/>
      <c r="L13" s="699"/>
      <c r="M13" s="699"/>
      <c r="N13" s="699"/>
      <c r="O13" s="699"/>
      <c r="P13" s="699"/>
      <c r="Q13" s="699"/>
      <c r="R13" s="699"/>
      <c r="S13" s="159"/>
      <c r="T13" s="158"/>
      <c r="U13" s="158"/>
      <c r="V13" s="151"/>
      <c r="X13" s="700" t="str">
        <f>'Translate&amp;Prices&amp;Logo'!$B$242</f>
        <v>Distance from edge</v>
      </c>
      <c r="Y13" s="700"/>
      <c r="Z13" s="700"/>
      <c r="AA13" s="700"/>
      <c r="AB13" s="700"/>
      <c r="AE13" s="698"/>
      <c r="AK13" s="151"/>
    </row>
    <row r="14" spans="1:41" ht="18.600000000000001" customHeight="1">
      <c r="A14" s="159"/>
      <c r="B14" s="184" t="e">
        <f>VLOOKUP(VLOOKUP(I15,'Translate&amp;Prices&amp;Logo'!B77:C85,2,0),'Translate&amp;Prices&amp;Logo'!B6:C590,2,0)</f>
        <v>#N/A</v>
      </c>
      <c r="C14" s="184" t="e">
        <f>VLOOKUP(VLOOKUP(I15,'Translate&amp;Prices&amp;Logo'!B77:D85,3,0),'Translate&amp;Prices&amp;Logo'!B6:D58,2,0)</f>
        <v>#N/A</v>
      </c>
      <c r="D14" s="158" t="e">
        <f>((AM19/1000)*2)*B14</f>
        <v>#N/A</v>
      </c>
      <c r="E14" s="185" t="e">
        <f>((AD35/1000)*2)*C14</f>
        <v>#N/A</v>
      </c>
      <c r="F14" s="185" t="e">
        <f>D14+E14</f>
        <v>#N/A</v>
      </c>
      <c r="G14" s="158"/>
      <c r="H14" s="158"/>
      <c r="I14" s="158"/>
      <c r="J14" s="158"/>
      <c r="K14" s="158"/>
      <c r="L14" s="158"/>
      <c r="M14" s="158"/>
      <c r="N14" s="158"/>
      <c r="O14" s="158"/>
      <c r="P14" s="158"/>
      <c r="Q14" s="158"/>
      <c r="R14" s="158"/>
      <c r="S14" s="158"/>
      <c r="T14" s="158"/>
      <c r="U14" s="158"/>
      <c r="V14" s="161"/>
      <c r="X14" s="701">
        <v>0</v>
      </c>
      <c r="Y14" s="701"/>
      <c r="Z14" s="159"/>
      <c r="AA14" s="702" t="str">
        <f>('Translate&amp;Prices&amp;Logo'!$B$548)&amp;" "&amp;I41&amp;" "&amp;"mm"</f>
        <v>Pitch  mm</v>
      </c>
      <c r="AB14" s="702"/>
      <c r="AC14" s="702"/>
      <c r="AD14" s="702"/>
      <c r="AE14" s="702"/>
      <c r="AF14" s="702"/>
      <c r="AK14" s="161"/>
    </row>
    <row r="15" spans="1:41" ht="15" customHeight="1">
      <c r="A15" s="159" t="s">
        <v>25</v>
      </c>
      <c r="B15" s="159">
        <f>IFERROR((((AD35/1000)+(AM19/1000))*2)*(VLOOKUP(I15,'Translate&amp;Prices&amp;Logo'!B6:C83,2,0))+(VLOOKUP(I15,'Translate&amp;Prices&amp;Logo'!B6:D83,3,0)),0)</f>
        <v>0</v>
      </c>
      <c r="C15" s="521" t="str">
        <f>'Translate&amp;Prices&amp;Logo'!$B$172</f>
        <v>Type of profile</v>
      </c>
      <c r="D15" s="521"/>
      <c r="E15" s="521"/>
      <c r="F15" s="521"/>
      <c r="G15" s="521"/>
      <c r="H15" s="171"/>
      <c r="I15" s="697" t="s">
        <v>947</v>
      </c>
      <c r="J15" s="697"/>
      <c r="K15" s="697"/>
      <c r="L15" s="697"/>
      <c r="M15" s="697"/>
      <c r="N15" s="697"/>
      <c r="O15" s="697"/>
      <c r="P15" s="697"/>
      <c r="Q15" s="697"/>
      <c r="R15" s="697"/>
      <c r="S15" s="159" t="e">
        <f>VLOOKUP(I15,kombinace_2!$A:$B,2,0)</f>
        <v>#N/A</v>
      </c>
      <c r="T15" s="158" t="e">
        <f>IF(S15=2,"Široký","Úzký")</f>
        <v>#N/A</v>
      </c>
      <c r="U15" s="158"/>
      <c r="V15" s="161"/>
      <c r="Y15" s="622">
        <v>0</v>
      </c>
      <c r="Z15" s="696" t="str">
        <f>'Translate&amp;Prices&amp;Logo'!$B$242</f>
        <v>Distance from edge</v>
      </c>
      <c r="AK15" s="161"/>
    </row>
    <row r="16" spans="1:41" ht="18.600000000000001" customHeight="1">
      <c r="A16" s="159"/>
      <c r="B16" s="160"/>
      <c r="S16" s="158"/>
      <c r="T16" s="158"/>
      <c r="U16" s="158"/>
      <c r="V16" s="162"/>
      <c r="W16" s="35"/>
      <c r="Y16" s="622"/>
      <c r="Z16" s="696"/>
      <c r="AJ16" s="34"/>
      <c r="AK16" s="131"/>
    </row>
    <row r="17" spans="1:39" ht="15" customHeight="1">
      <c r="A17" s="159" t="s">
        <v>1865</v>
      </c>
      <c r="B17" s="159">
        <f>((I20+N20)*2)*'Translate&amp;Prices&amp;Logo'!C97</f>
        <v>0</v>
      </c>
      <c r="C17" s="521">
        <f>IFERROR(IF(VLOOKUP(I15,kombinace_2!$A:$D,4,0)=1,'Translate&amp;Prices&amp;Logo'!$B$543,0),0)</f>
        <v>0</v>
      </c>
      <c r="D17" s="521"/>
      <c r="E17" s="521"/>
      <c r="F17" s="521"/>
      <c r="G17" s="521"/>
      <c r="H17" s="171"/>
      <c r="I17" s="697" t="s">
        <v>2143</v>
      </c>
      <c r="J17" s="697"/>
      <c r="K17" s="697"/>
      <c r="L17" s="697"/>
      <c r="M17" s="697"/>
      <c r="N17" s="697"/>
      <c r="O17" s="697"/>
      <c r="P17" s="697"/>
      <c r="Q17" s="697"/>
      <c r="R17" s="697"/>
      <c r="S17" s="159" t="e">
        <f>VLOOKUP(I21,kombinace_2!$DP:$DQ,2,0)</f>
        <v>#N/A</v>
      </c>
      <c r="T17" s="158"/>
      <c r="U17" s="158"/>
      <c r="V17" s="162"/>
      <c r="W17" s="35"/>
      <c r="Y17" s="622"/>
      <c r="Z17" s="696"/>
      <c r="AJ17" s="34"/>
      <c r="AK17" s="131"/>
    </row>
    <row r="18" spans="1:39" ht="18.600000000000001" customHeight="1">
      <c r="A18" s="159"/>
      <c r="B18" s="159"/>
      <c r="I18" s="705" t="str">
        <f>kombinace_2!$BY$14</f>
        <v>Vertical (delivery is 4 weeks)</v>
      </c>
      <c r="J18" s="705"/>
      <c r="K18" s="705"/>
      <c r="L18" s="705"/>
      <c r="M18" s="705"/>
      <c r="N18" s="705" t="str">
        <f>kombinace_2!$BY$15</f>
        <v>Horizontal and vertical (delivery is 4 weeks)</v>
      </c>
      <c r="O18" s="705"/>
      <c r="P18" s="705"/>
      <c r="Q18" s="705"/>
      <c r="R18" s="705"/>
      <c r="S18" s="158">
        <f>IFERROR(VLOOKUP(I17,kombinace_2!$BY$13:$BZ$16,2,0),0)</f>
        <v>0</v>
      </c>
      <c r="T18" s="158"/>
      <c r="U18" s="158"/>
      <c r="V18" s="162"/>
      <c r="W18" s="35"/>
      <c r="Y18" s="159"/>
      <c r="Z18" s="696"/>
      <c r="AJ18" s="34"/>
      <c r="AK18" s="131"/>
    </row>
    <row r="19" spans="1:39" ht="15" customHeight="1">
      <c r="A19" s="159" t="s">
        <v>1865</v>
      </c>
      <c r="B19" s="159">
        <f>IF(S18=1,I20*'Translate&amp;Prices&amp;Logo'!C51,IF(S18=2,N20*'Translate&amp;Prices&amp;Logo'!C51,IF(S18=3,(I20+N20)*'Translate&amp;Prices&amp;Logo'!C51,IF(S18=0,0))))</f>
        <v>0</v>
      </c>
      <c r="C19" s="521" t="str">
        <f>('Translate&amp;Prices&amp;Logo'!$B$543)&amp;" "&amp;"("&amp;'Translate&amp;Prices&amp;Logo'!$B$174&amp;")"</f>
        <v>Dividing bars (Quantity)</v>
      </c>
      <c r="D19" s="521"/>
      <c r="E19" s="521"/>
      <c r="F19" s="521"/>
      <c r="G19" s="521"/>
      <c r="H19" s="171"/>
      <c r="I19" s="709"/>
      <c r="J19" s="709"/>
      <c r="K19" s="709"/>
      <c r="L19" s="709"/>
      <c r="M19" s="709"/>
      <c r="N19" s="709"/>
      <c r="O19" s="709"/>
      <c r="P19" s="709"/>
      <c r="Q19" s="709"/>
      <c r="R19" s="709"/>
      <c r="S19" s="159"/>
      <c r="T19" s="158"/>
      <c r="U19" s="158"/>
      <c r="V19" s="162"/>
      <c r="W19" s="35"/>
      <c r="Y19" s="626" t="str">
        <f>('Translate&amp;Prices&amp;Logo'!$B$548)&amp;" "&amp;I41&amp;" "&amp;"mm"</f>
        <v>Pitch  mm</v>
      </c>
      <c r="Z19" s="696"/>
      <c r="AH19" s="661" t="str">
        <f>('Translate&amp;Prices&amp;Logo'!$B$548)&amp;" "&amp;I41&amp;" "&amp;"mm"</f>
        <v>Pitch  mm</v>
      </c>
      <c r="AJ19" s="155"/>
      <c r="AK19" s="131"/>
      <c r="AM19" s="602">
        <v>2100</v>
      </c>
    </row>
    <row r="20" spans="1:39" ht="18.600000000000001" customHeight="1">
      <c r="A20" s="159"/>
      <c r="B20" s="159"/>
      <c r="I20" s="711">
        <f>(AD35/1000)*I19</f>
        <v>0</v>
      </c>
      <c r="J20" s="711"/>
      <c r="K20" s="711"/>
      <c r="L20" s="711"/>
      <c r="M20" s="711"/>
      <c r="N20" s="711">
        <f>(AM19/1000)*N19</f>
        <v>0</v>
      </c>
      <c r="O20" s="711"/>
      <c r="P20" s="711"/>
      <c r="Q20" s="711"/>
      <c r="R20" s="711"/>
      <c r="S20" s="158"/>
      <c r="T20" s="158"/>
      <c r="U20" s="158"/>
      <c r="V20" s="162"/>
      <c r="W20" s="152"/>
      <c r="Y20" s="626"/>
      <c r="Z20" s="696"/>
      <c r="AH20" s="661"/>
      <c r="AJ20" s="155"/>
      <c r="AK20" s="131"/>
      <c r="AM20" s="602"/>
    </row>
    <row r="21" spans="1:39" ht="15" customHeight="1">
      <c r="A21" s="159" t="s">
        <v>2159</v>
      </c>
      <c r="B21" s="159"/>
      <c r="C21" s="521" t="str">
        <f>'Translate&amp;Prices&amp;Logo'!$B$258</f>
        <v>Type of fittings</v>
      </c>
      <c r="D21" s="521"/>
      <c r="E21" s="521"/>
      <c r="F21" s="521"/>
      <c r="G21" s="521"/>
      <c r="H21" s="171"/>
      <c r="I21" s="697" t="s">
        <v>693</v>
      </c>
      <c r="J21" s="697"/>
      <c r="K21" s="697"/>
      <c r="L21" s="697"/>
      <c r="M21" s="697"/>
      <c r="N21" s="697"/>
      <c r="O21" s="697"/>
      <c r="P21" s="697"/>
      <c r="Q21" s="697"/>
      <c r="R21" s="697"/>
      <c r="S21" s="159"/>
      <c r="T21" s="158"/>
      <c r="U21" s="158"/>
      <c r="V21" s="162"/>
      <c r="W21" s="152"/>
      <c r="Y21" s="626"/>
      <c r="Z21" s="696"/>
      <c r="AH21" s="661"/>
      <c r="AJ21" s="155"/>
      <c r="AK21" s="131"/>
      <c r="AM21" s="602"/>
    </row>
    <row r="22" spans="1:39" ht="18.600000000000001" customHeight="1">
      <c r="A22" s="159"/>
      <c r="B22" s="159"/>
      <c r="S22" s="158"/>
      <c r="T22" s="158"/>
      <c r="U22" s="158"/>
      <c r="V22" s="162"/>
      <c r="W22" s="152"/>
      <c r="Y22" s="626"/>
      <c r="AH22" s="661"/>
      <c r="AJ22" s="155"/>
      <c r="AK22" s="131"/>
      <c r="AM22" s="602"/>
    </row>
    <row r="23" spans="1:39" ht="15" customHeight="1">
      <c r="A23" s="159" t="s">
        <v>2158</v>
      </c>
      <c r="B23" s="159"/>
      <c r="C23" s="521" t="str">
        <f>'Translate&amp;Prices&amp;Logo'!$B$544</f>
        <v>Fittings brand</v>
      </c>
      <c r="D23" s="521"/>
      <c r="E23" s="521"/>
      <c r="F23" s="521"/>
      <c r="G23" s="521"/>
      <c r="H23" s="171"/>
      <c r="I23" s="697" t="s">
        <v>977</v>
      </c>
      <c r="J23" s="697"/>
      <c r="K23" s="697"/>
      <c r="L23" s="697"/>
      <c r="M23" s="697"/>
      <c r="N23" s="697"/>
      <c r="O23" s="697"/>
      <c r="P23" s="697"/>
      <c r="Q23" s="697"/>
      <c r="R23" s="697"/>
      <c r="S23" s="159"/>
      <c r="T23" s="158"/>
      <c r="U23" s="158"/>
      <c r="V23" s="162"/>
      <c r="W23" s="152"/>
      <c r="Y23" s="626"/>
      <c r="AH23" s="661"/>
      <c r="AJ23" s="155"/>
      <c r="AK23" s="131"/>
      <c r="AM23" s="602"/>
    </row>
    <row r="24" spans="1:39" ht="18.600000000000001" customHeight="1">
      <c r="A24" s="159"/>
      <c r="B24" s="159"/>
      <c r="I24" s="712"/>
      <c r="J24" s="712"/>
      <c r="K24" s="712"/>
      <c r="L24" s="712"/>
      <c r="M24" s="712"/>
      <c r="N24" s="712"/>
      <c r="O24" s="712"/>
      <c r="P24" s="712"/>
      <c r="Q24" s="712"/>
      <c r="R24" s="712"/>
      <c r="S24" s="158"/>
      <c r="T24" s="158"/>
      <c r="U24" s="158"/>
      <c r="V24" s="161"/>
      <c r="W24" s="601">
        <v>0</v>
      </c>
      <c r="X24" s="601"/>
      <c r="Y24" s="626"/>
      <c r="AG24" s="714" t="str">
        <f>'Translate&amp;Prices&amp;Logo'!$B$242</f>
        <v>Distance from edge</v>
      </c>
      <c r="AH24" s="661"/>
      <c r="AI24" s="601">
        <v>0</v>
      </c>
      <c r="AJ24" s="601"/>
      <c r="AK24" s="151"/>
      <c r="AM24" s="710" t="str">
        <f>'Translate&amp;Prices&amp;Logo'!$B$176</f>
        <v>Height</v>
      </c>
    </row>
    <row r="25" spans="1:39" ht="15" customHeight="1">
      <c r="A25" s="159" t="s">
        <v>693</v>
      </c>
      <c r="B25" s="159"/>
      <c r="C25" s="706">
        <f>IFERROR(IF(I21='Translate&amp;Prices&amp;Logo'!B551,'Translate&amp;Prices&amp;Logo'!$B$546,0),0)</f>
        <v>0</v>
      </c>
      <c r="D25" s="706"/>
      <c r="E25" s="706"/>
      <c r="F25" s="706"/>
      <c r="G25" s="706"/>
      <c r="H25" s="170"/>
      <c r="I25" s="708" t="s">
        <v>98</v>
      </c>
      <c r="J25" s="708"/>
      <c r="K25" s="708"/>
      <c r="L25" s="708"/>
      <c r="M25" s="708"/>
      <c r="N25" s="708"/>
      <c r="O25" s="708"/>
      <c r="P25" s="708"/>
      <c r="Q25" s="708"/>
      <c r="R25" s="708"/>
      <c r="S25" s="159" t="e">
        <f>VLOOKUP(I31,kombinace_2!$BY:$BZ,2,0)</f>
        <v>#N/A</v>
      </c>
      <c r="U25" s="158"/>
      <c r="V25" s="162"/>
      <c r="W25" s="35"/>
      <c r="Y25" s="626"/>
      <c r="AG25" s="714"/>
      <c r="AH25" s="661"/>
      <c r="AJ25" s="155"/>
      <c r="AK25" s="131"/>
      <c r="AM25" s="710"/>
    </row>
    <row r="26" spans="1:39" ht="18.600000000000001" customHeight="1">
      <c r="A26" s="159"/>
      <c r="B26" s="159"/>
      <c r="S26" s="158"/>
      <c r="T26" s="158"/>
      <c r="U26" s="158"/>
      <c r="V26" s="162"/>
      <c r="W26" s="35"/>
      <c r="Y26" s="626"/>
      <c r="AG26" s="714"/>
      <c r="AH26" s="661"/>
      <c r="AJ26" s="34"/>
      <c r="AK26" s="131"/>
      <c r="AM26" s="710"/>
    </row>
    <row r="27" spans="1:39" ht="15" customHeight="1">
      <c r="A27" s="159" t="s">
        <v>2154</v>
      </c>
      <c r="B27" s="159"/>
      <c r="C27" s="521" t="str">
        <f>'Translate&amp;Prices&amp;Logo'!$B$545</f>
        <v>Fittings variant</v>
      </c>
      <c r="D27" s="521"/>
      <c r="E27" s="521"/>
      <c r="F27" s="521"/>
      <c r="G27" s="521"/>
      <c r="H27" s="171"/>
      <c r="I27" s="697" t="s">
        <v>2311</v>
      </c>
      <c r="J27" s="697"/>
      <c r="K27" s="697"/>
      <c r="L27" s="697"/>
      <c r="M27" s="697"/>
      <c r="N27" s="697"/>
      <c r="O27" s="697"/>
      <c r="P27" s="697"/>
      <c r="Q27" s="697"/>
      <c r="R27" s="697"/>
      <c r="S27" s="159">
        <f>IFERROR(VLOOKUP(I27,kombinace_1!$CD:$CF,3,0),0)</f>
        <v>0</v>
      </c>
      <c r="T27" s="158"/>
      <c r="U27" s="158"/>
      <c r="V27" s="162"/>
      <c r="W27" s="35"/>
      <c r="AG27" s="714"/>
      <c r="AH27" s="159"/>
      <c r="AJ27" s="34"/>
      <c r="AK27" s="131"/>
      <c r="AM27" s="710"/>
    </row>
    <row r="28" spans="1:39" ht="18.600000000000001" customHeight="1">
      <c r="A28" s="159"/>
      <c r="B28" s="159"/>
      <c r="C28" s="715" t="str">
        <f>'Translate&amp;Prices&amp;Logo'!$B$218</f>
        <v>Select Frame Position</v>
      </c>
      <c r="D28" s="715"/>
      <c r="E28" s="715"/>
      <c r="F28" s="715"/>
      <c r="G28" s="716"/>
      <c r="H28" s="716"/>
      <c r="I28" s="716"/>
      <c r="J28" s="716"/>
      <c r="K28" s="715" t="str">
        <f>'Translate&amp;Prices&amp;Logo'!$B$232</f>
        <v>Second door type</v>
      </c>
      <c r="L28" s="715"/>
      <c r="M28" s="715"/>
      <c r="N28" s="715"/>
      <c r="O28" s="716"/>
      <c r="P28" s="716"/>
      <c r="Q28" s="716"/>
      <c r="R28" s="716"/>
      <c r="S28" s="158"/>
      <c r="T28" s="158"/>
      <c r="U28" s="158"/>
      <c r="V28" s="162"/>
      <c r="W28" s="35"/>
      <c r="AG28" s="714"/>
      <c r="AH28" s="617">
        <v>0</v>
      </c>
      <c r="AJ28" s="34"/>
      <c r="AK28" s="131"/>
      <c r="AM28" s="710"/>
    </row>
    <row r="29" spans="1:39" ht="15" customHeight="1">
      <c r="A29" s="159" t="s">
        <v>2155</v>
      </c>
      <c r="B29" s="159"/>
      <c r="C29" s="521">
        <f>IFERROR(IF(VLOOKUP(I27,kombinace_2!CD:CE,2,0)=1,'Translate&amp;Prices&amp;Logo'!$B$547,0),0)</f>
        <v>0</v>
      </c>
      <c r="D29" s="521"/>
      <c r="E29" s="521"/>
      <c r="F29" s="521"/>
      <c r="G29" s="521"/>
      <c r="H29" s="171"/>
      <c r="I29" s="697"/>
      <c r="J29" s="697"/>
      <c r="K29" s="697"/>
      <c r="L29" s="697"/>
      <c r="M29" s="697"/>
      <c r="N29" s="697"/>
      <c r="O29" s="697"/>
      <c r="P29" s="697"/>
      <c r="Q29" s="697"/>
      <c r="R29" s="697"/>
      <c r="S29" s="159"/>
      <c r="T29" s="158"/>
      <c r="U29" s="158"/>
      <c r="V29" s="162"/>
      <c r="W29" s="35"/>
      <c r="X29" s="700" t="str">
        <f>'Translate&amp;Prices&amp;Logo'!$B$242</f>
        <v>Distance from edge</v>
      </c>
      <c r="Y29" s="700"/>
      <c r="Z29" s="700"/>
      <c r="AA29" s="700"/>
      <c r="AB29" s="700"/>
      <c r="AG29" s="714"/>
      <c r="AH29" s="617"/>
      <c r="AJ29" s="34"/>
      <c r="AK29" s="163"/>
    </row>
    <row r="30" spans="1:39" ht="18.600000000000001" customHeight="1">
      <c r="A30" s="159"/>
      <c r="B30" s="159"/>
      <c r="S30" s="158"/>
      <c r="T30" s="158"/>
      <c r="U30" s="158"/>
      <c r="V30" s="162"/>
      <c r="W30" s="35"/>
      <c r="X30" s="713">
        <v>0</v>
      </c>
      <c r="Y30" s="713"/>
      <c r="Z30" s="159"/>
      <c r="AA30" s="702" t="str">
        <f>('Translate&amp;Prices&amp;Logo'!$B$548)&amp;" "&amp;I41&amp;" "&amp;"mm"</f>
        <v>Pitch  mm</v>
      </c>
      <c r="AB30" s="702"/>
      <c r="AC30" s="702"/>
      <c r="AD30" s="702"/>
      <c r="AE30" s="702"/>
      <c r="AF30" s="702"/>
      <c r="AG30" s="714"/>
      <c r="AH30" s="617"/>
      <c r="AJ30" s="34"/>
      <c r="AK30" s="163"/>
    </row>
    <row r="31" spans="1:39" ht="15" customHeight="1">
      <c r="A31" s="159" t="s">
        <v>2156</v>
      </c>
      <c r="B31" s="159"/>
      <c r="C31" s="707">
        <f>IFERROR(IF(I21='Translate&amp;Prices&amp;Logo'!B551,'Translate&amp;Prices&amp;Logo'!$B$238,IF(VLOOKUP(I27,kombinace_1!CD:CE,2,0)=1,0)),0)</f>
        <v>0</v>
      </c>
      <c r="D31" s="707"/>
      <c r="E31" s="707"/>
      <c r="F31" s="707"/>
      <c r="G31" s="707"/>
      <c r="H31" s="172"/>
      <c r="I31" s="708" t="s">
        <v>211</v>
      </c>
      <c r="J31" s="708"/>
      <c r="K31" s="708"/>
      <c r="L31" s="708"/>
      <c r="M31" s="708"/>
      <c r="N31" s="708"/>
      <c r="O31" s="708"/>
      <c r="P31" s="708"/>
      <c r="Q31" s="708"/>
      <c r="R31" s="708"/>
      <c r="S31" s="159" t="e">
        <f>VLOOKUP(I31,kombinace_2!$BY:$BZ,2,0)</f>
        <v>#N/A</v>
      </c>
      <c r="T31" s="158"/>
      <c r="U31" s="158"/>
      <c r="V31" s="162"/>
      <c r="W31" s="35"/>
      <c r="AE31" s="717">
        <v>0</v>
      </c>
      <c r="AJ31" s="34"/>
      <c r="AK31" s="131"/>
    </row>
    <row r="32" spans="1:39" ht="18.600000000000001" customHeight="1">
      <c r="A32" s="159"/>
      <c r="B32" s="159"/>
      <c r="C32" s="715"/>
      <c r="D32" s="715"/>
      <c r="E32" s="715"/>
      <c r="F32" s="715"/>
      <c r="G32" s="716"/>
      <c r="H32" s="716"/>
      <c r="I32" s="716"/>
      <c r="J32" s="716"/>
      <c r="K32" s="715"/>
      <c r="L32" s="715"/>
      <c r="M32" s="715"/>
      <c r="N32" s="715"/>
      <c r="O32" s="716"/>
      <c r="P32" s="716"/>
      <c r="Q32" s="716"/>
      <c r="R32" s="716"/>
      <c r="S32" s="158" t="e">
        <f>CONCATENATE(S31,"_",I33)</f>
        <v>#N/A</v>
      </c>
      <c r="T32" s="158"/>
      <c r="U32" s="158"/>
      <c r="V32" s="136"/>
      <c r="W32" s="36"/>
      <c r="X32" s="37"/>
      <c r="Y32" s="37"/>
      <c r="Z32" s="37"/>
      <c r="AA32" s="37"/>
      <c r="AB32" s="37"/>
      <c r="AC32" s="156"/>
      <c r="AD32" s="157"/>
      <c r="AE32" s="717"/>
      <c r="AF32" s="37"/>
      <c r="AG32" s="37"/>
      <c r="AH32" s="37"/>
      <c r="AI32" s="37"/>
      <c r="AJ32" s="38"/>
      <c r="AK32" s="131"/>
    </row>
    <row r="33" spans="1:37" ht="15" customHeight="1">
      <c r="A33" s="159" t="s">
        <v>2157</v>
      </c>
      <c r="B33" s="159"/>
      <c r="C33" s="706">
        <f>IFERROR(IF(I21='Translate&amp;Prices&amp;Logo'!B551,'Translate&amp;Prices&amp;Logo'!$B$223,IF(VLOOKUP(I27,kombinace_2!CD:CE,2,0)=1,'Translate&amp;Prices&amp;Logo'!$B$223,)),0)</f>
        <v>0</v>
      </c>
      <c r="D33" s="706"/>
      <c r="E33" s="706"/>
      <c r="F33" s="706"/>
      <c r="G33" s="706"/>
      <c r="H33" s="172"/>
      <c r="I33" s="708"/>
      <c r="J33" s="708"/>
      <c r="K33" s="708"/>
      <c r="L33" s="708"/>
      <c r="M33" s="708"/>
      <c r="N33" s="708"/>
      <c r="O33" s="708"/>
      <c r="P33" s="708"/>
      <c r="Q33" s="708"/>
      <c r="R33" s="708"/>
      <c r="S33" s="159" t="e">
        <f>VLOOKUP(I43,kombinace_2!$BY:$BZ,2,0)</f>
        <v>#N/A</v>
      </c>
      <c r="T33" s="158"/>
      <c r="U33" s="158"/>
      <c r="V33" s="133"/>
      <c r="W33" s="134"/>
      <c r="X33" s="165"/>
      <c r="Y33" s="165"/>
      <c r="Z33" s="134"/>
      <c r="AA33" s="134"/>
      <c r="AB33" s="134"/>
      <c r="AC33" s="134"/>
      <c r="AD33" s="135"/>
      <c r="AE33" s="183"/>
      <c r="AF33" s="134"/>
      <c r="AG33" s="134"/>
      <c r="AH33" s="165"/>
      <c r="AI33" s="165"/>
      <c r="AJ33" s="134"/>
      <c r="AK33" s="132"/>
    </row>
    <row r="34" spans="1:37" ht="18.600000000000001" customHeight="1">
      <c r="A34" s="159"/>
      <c r="B34" s="159"/>
      <c r="C34" s="703">
        <f>IFERROR('Translate&amp;Prices&amp;Logo'!$B$242&amp;" "&amp;(VLOOKUP(I31,kombinace_1!$BY$32:$CA$35,2,0)),0)</f>
        <v>0</v>
      </c>
      <c r="D34" s="703"/>
      <c r="E34" s="703"/>
      <c r="F34" s="703"/>
      <c r="G34" s="704">
        <v>100</v>
      </c>
      <c r="H34" s="704"/>
      <c r="I34" s="704"/>
      <c r="J34" s="704"/>
      <c r="K34" s="703">
        <f>IFERROR('Translate&amp;Prices&amp;Logo'!$B$242&amp;" "&amp;(VLOOKUP(I31,kombinace_1!$BY$32:$CA$35,3,0)),0)</f>
        <v>0</v>
      </c>
      <c r="L34" s="703"/>
      <c r="M34" s="703"/>
      <c r="N34" s="703"/>
      <c r="O34" s="704">
        <v>100</v>
      </c>
      <c r="P34" s="704"/>
      <c r="Q34" s="704"/>
      <c r="R34" s="704"/>
      <c r="S34" s="158"/>
      <c r="T34" s="158"/>
      <c r="U34" s="158"/>
      <c r="V34" s="158" t="str">
        <f>VLOOKUP(I25,kombinace_2!$DN$7:$DO$18,2,0)</f>
        <v>Naložený</v>
      </c>
    </row>
    <row r="35" spans="1:37" ht="15" customHeight="1">
      <c r="A35" s="159" t="s">
        <v>2161</v>
      </c>
      <c r="B35" s="159">
        <f>IF(kombinace_2!V1=2,((AM19/1000)*(AD35/1000))*'Translate&amp;Prices&amp;Logo'!C94,0)</f>
        <v>0</v>
      </c>
      <c r="C35" s="521" t="str">
        <f>'Translate&amp;Prices&amp;Logo'!$B$173</f>
        <v>Type of glass</v>
      </c>
      <c r="D35" s="521"/>
      <c r="E35" s="521"/>
      <c r="F35" s="521"/>
      <c r="G35" s="521"/>
      <c r="H35" s="171"/>
      <c r="I35" s="728" t="str">
        <f>'Translate&amp;Prices&amp;Logo'!$B$100</f>
        <v>Příslušenství u broušení 1x</v>
      </c>
      <c r="J35" s="728"/>
      <c r="K35" s="728"/>
      <c r="L35" s="728" t="str">
        <f>'Translate&amp;Prices&amp;Logo'!$B$101</f>
        <v>Montáž okének - předěly za ks</v>
      </c>
      <c r="M35" s="728"/>
      <c r="N35" s="728"/>
      <c r="O35" s="728" t="str">
        <f>'Translate&amp;Prices&amp;Logo'!$B$102</f>
        <v>Foil</v>
      </c>
      <c r="P35" s="728"/>
      <c r="Q35" s="728"/>
      <c r="R35" s="147"/>
      <c r="S35" s="159"/>
      <c r="T35" s="158"/>
      <c r="U35" s="158"/>
      <c r="AA35" s="729" t="str">
        <f>'Translate&amp;Prices&amp;Logo'!$B$175</f>
        <v>Width</v>
      </c>
      <c r="AB35" s="729"/>
      <c r="AC35" s="729"/>
      <c r="AD35" s="653">
        <v>1200</v>
      </c>
      <c r="AE35" s="653"/>
      <c r="AF35" s="653"/>
    </row>
    <row r="36" spans="1:37" s="137" customFormat="1" ht="18.600000000000001" customHeight="1">
      <c r="A36" s="186"/>
      <c r="B36" s="186"/>
      <c r="C36" s="1"/>
      <c r="D36" s="1"/>
      <c r="E36" s="1"/>
      <c r="F36" s="1"/>
      <c r="G36" s="1"/>
      <c r="H36" s="1"/>
      <c r="I36" s="735" t="str">
        <f>"↥↥"&amp;"   "&amp;'Translate&amp;Prices&amp;Logo'!$B$573&amp;" "&amp;C39&amp;"   "&amp;"↥↥"</f>
        <v>↥↥   Do not change after you make a choice type of glass/mesh Type of glass   ↥↥</v>
      </c>
      <c r="J36" s="735"/>
      <c r="K36" s="735"/>
      <c r="L36" s="735"/>
      <c r="M36" s="735"/>
      <c r="N36" s="735"/>
      <c r="O36" s="735"/>
      <c r="P36" s="735"/>
      <c r="Q36" s="735"/>
      <c r="R36" s="735"/>
      <c r="S36" s="178"/>
      <c r="T36" s="178"/>
      <c r="U36" s="178"/>
      <c r="AD36" s="83"/>
      <c r="AE36" s="75"/>
    </row>
    <row r="37" spans="1:37" ht="15" customHeight="1">
      <c r="A37" s="159"/>
      <c r="B37" s="159">
        <f>IFERROR(((VLOOKUP(I37,'Translate&amp;Prices&amp;Logo'!B91:C93,2,0))*(AM19/1000)),0)</f>
        <v>0</v>
      </c>
      <c r="C37" s="521" t="str">
        <f>'Translate&amp;Prices&amp;Logo'!$B$562</f>
        <v>Type of foil</v>
      </c>
      <c r="D37" s="521"/>
      <c r="E37" s="521"/>
      <c r="F37" s="521"/>
      <c r="G37" s="521"/>
      <c r="H37" s="171"/>
      <c r="I37" s="697"/>
      <c r="J37" s="697"/>
      <c r="K37" s="697"/>
      <c r="L37" s="697"/>
      <c r="M37" s="697"/>
      <c r="N37" s="697"/>
      <c r="O37" s="697"/>
      <c r="P37" s="697"/>
      <c r="Q37" s="697"/>
      <c r="R37" s="697"/>
      <c r="S37" s="159"/>
      <c r="T37" s="158"/>
      <c r="U37" s="158"/>
      <c r="V37" s="618" t="str">
        <f>'Translate&amp;Prices&amp;Logo'!$B$572</f>
        <v>Warning:</v>
      </c>
      <c r="W37" s="618"/>
      <c r="X37" s="618"/>
    </row>
    <row r="38" spans="1:37" s="137" customFormat="1" ht="18.600000000000001" customHeight="1">
      <c r="A38" s="186"/>
      <c r="B38" s="186"/>
      <c r="C38" s="1"/>
      <c r="D38" s="1"/>
      <c r="E38" s="1"/>
      <c r="F38" s="1"/>
      <c r="G38" s="1"/>
      <c r="H38" s="1"/>
      <c r="I38" s="1"/>
      <c r="J38" s="1"/>
      <c r="K38" s="1"/>
      <c r="L38" s="1"/>
      <c r="M38" s="1"/>
      <c r="N38" s="1"/>
      <c r="O38" s="1"/>
      <c r="P38" s="1"/>
      <c r="Q38" s="1"/>
      <c r="R38" s="1"/>
      <c r="S38" s="178"/>
      <c r="T38" s="178"/>
      <c r="U38" s="158"/>
      <c r="V38" s="205"/>
      <c r="W38" s="718">
        <f>IF(AND(S18&gt;0,I33&gt;=2),'Translate&amp;Prices&amp;Logo'!B303&amp;" "&amp;'Translate&amp;Prices&amp;Logo'!B571&amp;" "&amp;'Translate&amp;Prices&amp;Logo'!B575,IF(AND(S18&gt;0,I33&lt;2),'Translate&amp;Prices&amp;Logo'!B303&amp;" "&amp;'Translate&amp;Prices&amp;Logo'!B571,IF(AND(S18=0,I33&gt;=2),'Translate&amp;Prices&amp;Logo'!B575,0)))</f>
        <v>0</v>
      </c>
      <c r="X38" s="719"/>
      <c r="Y38" s="719"/>
      <c r="Z38" s="719"/>
      <c r="AA38" s="719"/>
      <c r="AB38" s="719"/>
      <c r="AC38" s="719"/>
      <c r="AD38" s="719"/>
      <c r="AE38" s="719"/>
      <c r="AF38" s="719"/>
      <c r="AG38" s="719"/>
      <c r="AH38" s="719"/>
      <c r="AI38" s="719"/>
      <c r="AJ38" s="719"/>
      <c r="AK38" s="720"/>
    </row>
    <row r="39" spans="1:37" ht="15" customHeight="1">
      <c r="A39" s="159" t="s">
        <v>5</v>
      </c>
      <c r="B39" s="159">
        <f>IFERROR((VLOOKUP(I39,'Translate&amp;Prices&amp;Logo'!B99:D163,2,0))*((AD35/1000)*(AM19/1000)),0)</f>
        <v>0</v>
      </c>
      <c r="C39" s="521" t="str">
        <f>'Translate&amp;Prices&amp;Logo'!$B$173</f>
        <v>Type of glass</v>
      </c>
      <c r="D39" s="521"/>
      <c r="E39" s="521"/>
      <c r="F39" s="521"/>
      <c r="G39" s="521"/>
      <c r="H39" s="171"/>
      <c r="I39" s="727"/>
      <c r="J39" s="727"/>
      <c r="K39" s="727"/>
      <c r="L39" s="727"/>
      <c r="M39" s="727"/>
      <c r="N39" s="727"/>
      <c r="O39" s="727"/>
      <c r="P39" s="727"/>
      <c r="Q39" s="727"/>
      <c r="R39" s="727"/>
      <c r="S39" s="159"/>
      <c r="T39" s="158"/>
      <c r="U39" s="158"/>
      <c r="V39" s="206"/>
      <c r="W39" s="721"/>
      <c r="X39" s="722"/>
      <c r="Y39" s="722"/>
      <c r="Z39" s="722"/>
      <c r="AA39" s="722"/>
      <c r="AB39" s="722"/>
      <c r="AC39" s="722"/>
      <c r="AD39" s="722"/>
      <c r="AE39" s="722"/>
      <c r="AF39" s="722"/>
      <c r="AG39" s="722"/>
      <c r="AH39" s="722"/>
      <c r="AI39" s="722"/>
      <c r="AJ39" s="722"/>
      <c r="AK39" s="723"/>
    </row>
    <row r="40" spans="1:37" ht="18.600000000000001" customHeight="1">
      <c r="A40" s="159"/>
      <c r="B40" s="159"/>
      <c r="S40" s="158"/>
      <c r="T40" s="158"/>
      <c r="U40" s="158"/>
      <c r="V40" s="206"/>
      <c r="W40" s="721"/>
      <c r="X40" s="722"/>
      <c r="Y40" s="722"/>
      <c r="Z40" s="722"/>
      <c r="AA40" s="722"/>
      <c r="AB40" s="722"/>
      <c r="AC40" s="722"/>
      <c r="AD40" s="722"/>
      <c r="AE40" s="722"/>
      <c r="AF40" s="722"/>
      <c r="AG40" s="722"/>
      <c r="AH40" s="722"/>
      <c r="AI40" s="722"/>
      <c r="AJ40" s="722"/>
      <c r="AK40" s="723"/>
    </row>
    <row r="41" spans="1:37" ht="15" customHeight="1">
      <c r="A41" s="159" t="s">
        <v>2162</v>
      </c>
      <c r="B41" s="159"/>
      <c r="C41" s="521" t="str">
        <f>'Translate&amp;Prices&amp;Logo'!$B$549</f>
        <v>Handle diameter (mm)</v>
      </c>
      <c r="D41" s="521"/>
      <c r="E41" s="521"/>
      <c r="F41" s="521"/>
      <c r="G41" s="521"/>
      <c r="H41" s="171"/>
      <c r="I41" s="697"/>
      <c r="J41" s="697"/>
      <c r="K41" s="697"/>
      <c r="L41" s="697"/>
      <c r="M41" s="697"/>
      <c r="N41" s="697"/>
      <c r="O41" s="697"/>
      <c r="P41" s="697"/>
      <c r="Q41" s="697"/>
      <c r="R41" s="697"/>
      <c r="S41" s="159"/>
      <c r="T41" s="158"/>
      <c r="U41" s="158"/>
      <c r="V41" s="206"/>
      <c r="W41" s="724"/>
      <c r="X41" s="725"/>
      <c r="Y41" s="725"/>
      <c r="Z41" s="725"/>
      <c r="AA41" s="725"/>
      <c r="AB41" s="725"/>
      <c r="AC41" s="725"/>
      <c r="AD41" s="725"/>
      <c r="AE41" s="725"/>
      <c r="AF41" s="725"/>
      <c r="AG41" s="725"/>
      <c r="AH41" s="725"/>
      <c r="AI41" s="725"/>
      <c r="AJ41" s="725"/>
      <c r="AK41" s="726"/>
    </row>
    <row r="42" spans="1:37" ht="18.600000000000001" customHeight="1">
      <c r="A42" s="159"/>
      <c r="B42" s="159"/>
      <c r="S42" s="158"/>
      <c r="T42" s="158"/>
      <c r="U42" s="158"/>
      <c r="V42" s="206"/>
      <c r="W42" s="206"/>
      <c r="X42" s="206"/>
      <c r="Y42" s="206"/>
      <c r="Z42" s="206"/>
      <c r="AA42" s="206"/>
      <c r="AB42" s="206"/>
      <c r="AC42" s="206"/>
      <c r="AD42" s="206"/>
      <c r="AE42" s="206"/>
      <c r="AF42" s="206"/>
      <c r="AG42" s="206"/>
      <c r="AH42" s="206"/>
      <c r="AI42" s="206"/>
      <c r="AJ42" s="206"/>
      <c r="AK42" s="206"/>
    </row>
    <row r="43" spans="1:37" ht="15" customHeight="1">
      <c r="A43" s="159" t="s">
        <v>2163</v>
      </c>
      <c r="B43" s="159"/>
      <c r="C43" s="521" t="str">
        <f>'Translate&amp;Prices&amp;Logo'!$B$550</f>
        <v>Handle position</v>
      </c>
      <c r="D43" s="521"/>
      <c r="E43" s="521"/>
      <c r="F43" s="521"/>
      <c r="G43" s="521"/>
      <c r="H43" s="171"/>
      <c r="I43" s="697"/>
      <c r="J43" s="697"/>
      <c r="K43" s="697"/>
      <c r="L43" s="697"/>
      <c r="M43" s="697"/>
      <c r="N43" s="697"/>
      <c r="O43" s="697"/>
      <c r="P43" s="697"/>
      <c r="Q43" s="697"/>
      <c r="R43" s="697"/>
      <c r="S43" s="159"/>
      <c r="T43" s="158"/>
      <c r="U43" s="158"/>
      <c r="V43" s="618" t="str">
        <f>'Translate&amp;Prices&amp;Logo'!$B$177</f>
        <v>Notes</v>
      </c>
      <c r="W43" s="618"/>
      <c r="X43" s="618"/>
      <c r="Y43" s="204"/>
      <c r="Z43" s="204"/>
      <c r="AA43" s="204"/>
      <c r="AB43" s="204"/>
      <c r="AC43" s="204"/>
      <c r="AD43" s="204"/>
      <c r="AE43" s="204"/>
      <c r="AF43" s="204"/>
      <c r="AG43" s="204"/>
      <c r="AH43" s="204"/>
      <c r="AI43" s="204"/>
      <c r="AJ43" s="204"/>
      <c r="AK43" s="204"/>
    </row>
    <row r="44" spans="1:37" ht="18.600000000000001" customHeight="1">
      <c r="A44" s="159"/>
      <c r="B44" s="159"/>
      <c r="S44" s="159"/>
      <c r="U44" s="158"/>
      <c r="V44" s="204"/>
      <c r="W44" s="736"/>
      <c r="X44" s="737"/>
      <c r="Y44" s="737"/>
      <c r="Z44" s="737"/>
      <c r="AA44" s="737"/>
      <c r="AB44" s="737"/>
      <c r="AC44" s="737"/>
      <c r="AD44" s="737"/>
      <c r="AE44" s="737"/>
      <c r="AF44" s="737"/>
      <c r="AG44" s="737"/>
      <c r="AH44" s="737"/>
      <c r="AI44" s="737"/>
      <c r="AJ44" s="737"/>
      <c r="AK44" s="738"/>
    </row>
    <row r="45" spans="1:37" ht="15" customHeight="1">
      <c r="A45" s="159" t="s">
        <v>2164</v>
      </c>
      <c r="B45" s="159">
        <f>I45</f>
        <v>1</v>
      </c>
      <c r="C45" s="521" t="str">
        <f>('Translate&amp;Prices&amp;Logo'!$B$174)&amp;" "&amp;"-"&amp;" "&amp;('Translate&amp;Prices&amp;Logo'!$B$169)&amp;" "&amp;" "&amp;2</f>
        <v>Quantity - Frame  2</v>
      </c>
      <c r="D45" s="521"/>
      <c r="E45" s="521"/>
      <c r="F45" s="521"/>
      <c r="G45" s="521"/>
      <c r="H45" s="171"/>
      <c r="I45" s="697">
        <v>1</v>
      </c>
      <c r="J45" s="697"/>
      <c r="K45" s="697"/>
      <c r="L45" s="697"/>
      <c r="M45" s="697"/>
      <c r="N45" s="697"/>
      <c r="O45" s="697"/>
      <c r="P45" s="697"/>
      <c r="Q45" s="697"/>
      <c r="R45" s="697"/>
      <c r="S45" s="160"/>
      <c r="V45" s="204"/>
      <c r="W45" s="739"/>
      <c r="X45" s="740"/>
      <c r="Y45" s="740"/>
      <c r="Z45" s="740"/>
      <c r="AA45" s="740"/>
      <c r="AB45" s="740"/>
      <c r="AC45" s="740"/>
      <c r="AD45" s="740"/>
      <c r="AE45" s="740"/>
      <c r="AF45" s="740"/>
      <c r="AG45" s="740"/>
      <c r="AH45" s="740"/>
      <c r="AI45" s="740"/>
      <c r="AJ45" s="740"/>
      <c r="AK45" s="741"/>
    </row>
    <row r="46" spans="1:37" ht="18.600000000000001" customHeight="1">
      <c r="A46" s="159"/>
      <c r="B46" s="159"/>
      <c r="I46" s="745"/>
      <c r="J46" s="745"/>
      <c r="K46" s="746" t="str">
        <f>S46&amp;" "&amp;'Translate&amp;Prices&amp;Logo'!$B$225</f>
        <v>&lt;----- Supply including specified fittings</v>
      </c>
      <c r="L46" s="746"/>
      <c r="M46" s="746"/>
      <c r="N46" s="746"/>
      <c r="O46" s="746"/>
      <c r="P46" s="746"/>
      <c r="Q46" s="746"/>
      <c r="R46" s="746"/>
      <c r="S46" s="158" t="s">
        <v>2182</v>
      </c>
      <c r="W46" s="742"/>
      <c r="X46" s="743"/>
      <c r="Y46" s="743"/>
      <c r="Z46" s="743"/>
      <c r="AA46" s="743"/>
      <c r="AB46" s="743"/>
      <c r="AC46" s="743"/>
      <c r="AD46" s="743"/>
      <c r="AE46" s="743"/>
      <c r="AF46" s="743"/>
      <c r="AG46" s="743"/>
      <c r="AH46" s="743"/>
      <c r="AI46" s="743"/>
      <c r="AJ46" s="743"/>
      <c r="AK46" s="744"/>
    </row>
    <row r="47" spans="1:37" ht="21.75" thickBot="1">
      <c r="A47" s="159"/>
      <c r="B47" s="159"/>
      <c r="C47" s="730" t="str">
        <f>'Translate&amp;Prices&amp;Logo'!$B$178</f>
        <v>Total price of frames</v>
      </c>
      <c r="D47" s="730"/>
      <c r="E47" s="730"/>
      <c r="F47" s="730"/>
      <c r="G47" s="730"/>
      <c r="H47" s="730"/>
      <c r="I47" s="730"/>
      <c r="J47" s="730"/>
      <c r="K47" s="730"/>
      <c r="L47" s="138"/>
      <c r="M47" s="731">
        <f>((B13+B15+B17+B19+B35+B37+B39)*B45)*(1-Zakaznik!K21)</f>
        <v>0</v>
      </c>
      <c r="N47" s="731"/>
      <c r="O47" s="731"/>
      <c r="P47" s="731"/>
      <c r="Q47" s="731"/>
      <c r="R47" s="731"/>
    </row>
    <row r="48" spans="1:37" ht="15.75" thickTop="1">
      <c r="A48" s="158"/>
      <c r="B48" s="158"/>
      <c r="C48" s="732" t="str">
        <f>'Translate&amp;Prices&amp;Logo'!$B$171</f>
        <v>Prices shown are VAT-free and do not include price of the fittings required!</v>
      </c>
      <c r="D48" s="732"/>
      <c r="E48" s="732"/>
      <c r="F48" s="732"/>
      <c r="G48" s="732"/>
      <c r="H48" s="732"/>
      <c r="I48" s="732"/>
      <c r="J48" s="732"/>
      <c r="K48" s="732"/>
      <c r="L48" s="732"/>
      <c r="M48" s="732"/>
      <c r="N48" s="732"/>
      <c r="O48" s="732"/>
      <c r="P48" s="732"/>
      <c r="Q48" s="732"/>
      <c r="R48" s="732"/>
      <c r="AF48" s="733" t="str">
        <f>'Translate&amp;Prices&amp;Logo'!$B$567</f>
        <v>Summary</v>
      </c>
      <c r="AG48" s="734"/>
      <c r="AH48" s="734"/>
      <c r="AI48" s="734"/>
      <c r="AJ48" s="734"/>
      <c r="AK48" s="734"/>
    </row>
    <row r="49" spans="1:37" ht="15">
      <c r="A49" s="158"/>
      <c r="B49" s="158"/>
      <c r="AF49" s="733"/>
      <c r="AG49" s="734"/>
      <c r="AH49" s="734"/>
      <c r="AI49" s="734"/>
      <c r="AJ49" s="734"/>
      <c r="AK49" s="734"/>
    </row>
    <row r="138" ht="15"/>
  </sheetData>
  <sheetProtection selectLockedCells="1"/>
  <mergeCells count="94">
    <mergeCell ref="C47:K47"/>
    <mergeCell ref="M47:R47"/>
    <mergeCell ref="C48:R48"/>
    <mergeCell ref="AF48:AK49"/>
    <mergeCell ref="I36:R36"/>
    <mergeCell ref="W44:AK46"/>
    <mergeCell ref="C43:G43"/>
    <mergeCell ref="I43:R43"/>
    <mergeCell ref="V43:X43"/>
    <mergeCell ref="C45:G45"/>
    <mergeCell ref="I45:R45"/>
    <mergeCell ref="I46:J46"/>
    <mergeCell ref="K46:R46"/>
    <mergeCell ref="AD35:AF35"/>
    <mergeCell ref="C37:G37"/>
    <mergeCell ref="I37:R37"/>
    <mergeCell ref="V37:X37"/>
    <mergeCell ref="W38:AK41"/>
    <mergeCell ref="C39:G39"/>
    <mergeCell ref="I39:R39"/>
    <mergeCell ref="C41:G41"/>
    <mergeCell ref="I41:R41"/>
    <mergeCell ref="C35:G35"/>
    <mergeCell ref="I35:K35"/>
    <mergeCell ref="L35:N35"/>
    <mergeCell ref="O35:Q35"/>
    <mergeCell ref="AA35:AC35"/>
    <mergeCell ref="AE31:AE32"/>
    <mergeCell ref="C33:G33"/>
    <mergeCell ref="I33:R33"/>
    <mergeCell ref="C32:F32"/>
    <mergeCell ref="G32:J32"/>
    <mergeCell ref="K32:N32"/>
    <mergeCell ref="O32:R32"/>
    <mergeCell ref="X30:Y30"/>
    <mergeCell ref="AA30:AF30"/>
    <mergeCell ref="AG24:AG30"/>
    <mergeCell ref="C28:F28"/>
    <mergeCell ref="O28:R28"/>
    <mergeCell ref="G28:J28"/>
    <mergeCell ref="K28:N28"/>
    <mergeCell ref="C27:G27"/>
    <mergeCell ref="I27:R27"/>
    <mergeCell ref="AI24:AJ24"/>
    <mergeCell ref="AM24:AM28"/>
    <mergeCell ref="W24:X24"/>
    <mergeCell ref="N19:R19"/>
    <mergeCell ref="Y19:Y26"/>
    <mergeCell ref="AH19:AH26"/>
    <mergeCell ref="AM19:AM23"/>
    <mergeCell ref="I21:R21"/>
    <mergeCell ref="I20:M20"/>
    <mergeCell ref="N20:R20"/>
    <mergeCell ref="I23:R23"/>
    <mergeCell ref="I24:R24"/>
    <mergeCell ref="I25:R25"/>
    <mergeCell ref="AH28:AH30"/>
    <mergeCell ref="I29:R29"/>
    <mergeCell ref="X29:AB29"/>
    <mergeCell ref="C34:F34"/>
    <mergeCell ref="G34:J34"/>
    <mergeCell ref="K34:N34"/>
    <mergeCell ref="O34:R34"/>
    <mergeCell ref="I18:M18"/>
    <mergeCell ref="N18:R18"/>
    <mergeCell ref="C23:G23"/>
    <mergeCell ref="C25:G25"/>
    <mergeCell ref="C29:G29"/>
    <mergeCell ref="C31:G31"/>
    <mergeCell ref="I31:R31"/>
    <mergeCell ref="C19:G19"/>
    <mergeCell ref="I19:M19"/>
    <mergeCell ref="AE12:AE13"/>
    <mergeCell ref="C13:G13"/>
    <mergeCell ref="I13:R13"/>
    <mergeCell ref="X13:AB13"/>
    <mergeCell ref="X14:Y14"/>
    <mergeCell ref="AA14:AF14"/>
    <mergeCell ref="Z15:Z21"/>
    <mergeCell ref="I17:R17"/>
    <mergeCell ref="C15:G15"/>
    <mergeCell ref="I15:R15"/>
    <mergeCell ref="Y15:Y17"/>
    <mergeCell ref="C17:G17"/>
    <mergeCell ref="C21:G21"/>
    <mergeCell ref="AK2:AN3"/>
    <mergeCell ref="P4:AC5"/>
    <mergeCell ref="P8:Q8"/>
    <mergeCell ref="R8:T8"/>
    <mergeCell ref="V8:X8"/>
    <mergeCell ref="Z8:AB8"/>
    <mergeCell ref="AD8:AF8"/>
    <mergeCell ref="AH8:AJ8"/>
    <mergeCell ref="AL8:AN8"/>
  </mergeCells>
  <conditionalFormatting sqref="C17:R17">
    <cfRule type="expression" dxfId="218" priority="32">
      <formula>$C$17=0</formula>
    </cfRule>
  </conditionalFormatting>
  <conditionalFormatting sqref="C19:R19">
    <cfRule type="expression" dxfId="217" priority="33">
      <formula>$S$18=0</formula>
    </cfRule>
  </conditionalFormatting>
  <conditionalFormatting sqref="C25:R25">
    <cfRule type="expression" dxfId="216" priority="30">
      <formula>$C$25=0</formula>
    </cfRule>
  </conditionalFormatting>
  <conditionalFormatting sqref="C28:R28">
    <cfRule type="expression" dxfId="215" priority="9">
      <formula>$S$27=0</formula>
    </cfRule>
  </conditionalFormatting>
  <conditionalFormatting sqref="C29:R29">
    <cfRule type="expression" dxfId="214" priority="31">
      <formula>$C$29=0</formula>
    </cfRule>
  </conditionalFormatting>
  <conditionalFormatting sqref="C31:R31">
    <cfRule type="expression" dxfId="213" priority="5">
      <formula>$C$31=0</formula>
    </cfRule>
  </conditionalFormatting>
  <conditionalFormatting sqref="C32:R32">
    <cfRule type="expression" dxfId="212" priority="8">
      <formula>$S$27=0</formula>
    </cfRule>
  </conditionalFormatting>
  <conditionalFormatting sqref="C33:R33">
    <cfRule type="expression" dxfId="211" priority="24">
      <formula>$C$33=0</formula>
    </cfRule>
  </conditionalFormatting>
  <conditionalFormatting sqref="C34:R34">
    <cfRule type="expression" dxfId="210" priority="2">
      <formula>$C$33=0</formula>
    </cfRule>
    <cfRule type="expression" dxfId="209" priority="1">
      <formula>$C$34=0</formula>
    </cfRule>
  </conditionalFormatting>
  <conditionalFormatting sqref="I36">
    <cfRule type="expression" dxfId="208" priority="10">
      <formula>$I$39&gt;0</formula>
    </cfRule>
  </conditionalFormatting>
  <conditionalFormatting sqref="I18:M18">
    <cfRule type="expression" dxfId="207" priority="38">
      <formula>$S$18=1</formula>
    </cfRule>
  </conditionalFormatting>
  <conditionalFormatting sqref="I19:M19">
    <cfRule type="expression" dxfId="206" priority="34">
      <formula>$S$18=2</formula>
    </cfRule>
  </conditionalFormatting>
  <conditionalFormatting sqref="I18:R18">
    <cfRule type="expression" dxfId="205" priority="36">
      <formula>$S$18=3</formula>
    </cfRule>
  </conditionalFormatting>
  <conditionalFormatting sqref="N18:R18">
    <cfRule type="expression" dxfId="204" priority="37">
      <formula>$S$18=2</formula>
    </cfRule>
  </conditionalFormatting>
  <conditionalFormatting sqref="N19:R19">
    <cfRule type="expression" dxfId="203" priority="35">
      <formula>$S$18=1</formula>
    </cfRule>
  </conditionalFormatting>
  <conditionalFormatting sqref="R8:T8">
    <cfRule type="cellIs" dxfId="202" priority="22" operator="equal">
      <formula>$P$4</formula>
    </cfRule>
  </conditionalFormatting>
  <conditionalFormatting sqref="V37">
    <cfRule type="cellIs" dxfId="201" priority="11" operator="equal">
      <formula>0</formula>
    </cfRule>
  </conditionalFormatting>
  <conditionalFormatting sqref="V8:X8 Z8:AB8 AD8:AF8 AH8:AJ8 AL8:AN8">
    <cfRule type="cellIs" dxfId="200" priority="23" operator="equal">
      <formula>$P$4</formula>
    </cfRule>
  </conditionalFormatting>
  <conditionalFormatting sqref="W38 V42:AK42 V43 Y43:AK43 V44:W44 V45">
    <cfRule type="cellIs" dxfId="199" priority="17" operator="equal">
      <formula>0</formula>
    </cfRule>
  </conditionalFormatting>
  <conditionalFormatting sqref="W24:X24">
    <cfRule type="expression" dxfId="198" priority="21">
      <formula>$S$33=1</formula>
    </cfRule>
  </conditionalFormatting>
  <conditionalFormatting sqref="X14:Y14">
    <cfRule type="expression" dxfId="197" priority="58">
      <formula>$S$33=3</formula>
    </cfRule>
  </conditionalFormatting>
  <conditionalFormatting sqref="X30:Y30">
    <cfRule type="expression" dxfId="196" priority="56">
      <formula>$S$33=4</formula>
    </cfRule>
  </conditionalFormatting>
  <conditionalFormatting sqref="X13:AB13">
    <cfRule type="expression" dxfId="195" priority="48">
      <formula>$S$33=3</formula>
    </cfRule>
  </conditionalFormatting>
  <conditionalFormatting sqref="X29:AB29">
    <cfRule type="expression" dxfId="194" priority="51">
      <formula>$S$33=4</formula>
    </cfRule>
  </conditionalFormatting>
  <conditionalFormatting sqref="Y15:Y17">
    <cfRule type="expression" dxfId="193" priority="62">
      <formula>$S$33=1</formula>
    </cfRule>
  </conditionalFormatting>
  <conditionalFormatting sqref="Y19:Y26">
    <cfRule type="expression" dxfId="192" priority="63">
      <formula>$S$33=1</formula>
    </cfRule>
  </conditionalFormatting>
  <conditionalFormatting sqref="Z15:Z21">
    <cfRule type="expression" dxfId="191" priority="50">
      <formula>$S$33=1</formula>
    </cfRule>
  </conditionalFormatting>
  <conditionalFormatting sqref="AA14:AF14">
    <cfRule type="expression" dxfId="190" priority="59">
      <formula>$S$33=3</formula>
    </cfRule>
  </conditionalFormatting>
  <conditionalFormatting sqref="AA30:AF30">
    <cfRule type="expression" dxfId="189" priority="57">
      <formula>$S$33=4</formula>
    </cfRule>
  </conditionalFormatting>
  <conditionalFormatting sqref="AE12:AE13">
    <cfRule type="expression" dxfId="188" priority="19">
      <formula>$S$33=3</formula>
    </cfRule>
  </conditionalFormatting>
  <conditionalFormatting sqref="AE31:AE32">
    <cfRule type="expression" dxfId="187" priority="18">
      <formula>$S$33=4</formula>
    </cfRule>
  </conditionalFormatting>
  <conditionalFormatting sqref="AG24:AG30">
    <cfRule type="expression" dxfId="186" priority="49">
      <formula>$S$33=2</formula>
    </cfRule>
  </conditionalFormatting>
  <conditionalFormatting sqref="AH19:AH26">
    <cfRule type="expression" dxfId="185" priority="61">
      <formula>$S$33=2</formula>
    </cfRule>
  </conditionalFormatting>
  <conditionalFormatting sqref="AH28:AH30">
    <cfRule type="expression" dxfId="184" priority="60">
      <formula>$S$33=2</formula>
    </cfRule>
  </conditionalFormatting>
  <conditionalFormatting sqref="AI24:AJ24">
    <cfRule type="expression" dxfId="183" priority="20">
      <formula>$S$33=2</formula>
    </cfRule>
  </conditionalFormatting>
  <dataValidations count="7">
    <dataValidation type="whole" allowBlank="1" showInputMessage="1" showErrorMessage="1" sqref="I19:M19" xr:uid="{9944320F-AFEB-4998-9BE3-66F4A7FCC61D}">
      <formula1>1</formula1>
      <formula2>(AM19/100)-1</formula2>
    </dataValidation>
    <dataValidation type="whole" allowBlank="1" showInputMessage="1" showErrorMessage="1" sqref="N19:R19" xr:uid="{0F052523-B133-467A-B6CD-9187E47C379D}">
      <formula1>1</formula1>
      <formula2>(AD35/100)-1</formula2>
    </dataValidation>
    <dataValidation type="list" allowBlank="1" showInputMessage="1" showErrorMessage="1" sqref="I29:R29" xr:uid="{A3E3F29D-80B5-459F-9F08-6A2E99068267}">
      <formula1>INDIRECT(CONCATENATE("_",T15,"_",I27))</formula1>
    </dataValidation>
    <dataValidation type="list" allowBlank="1" showInputMessage="1" showErrorMessage="1" sqref="I43:R43" xr:uid="{AFB36ADD-DB32-4D5E-8C88-A801C03A4D43}">
      <formula1>_umisteni_zavesu</formula1>
    </dataValidation>
    <dataValidation type="whole" allowBlank="1" showErrorMessage="1" errorTitle="MAX 2500" error="MAXIMUM 1300 mm x 2500 mm" sqref="AM19:AM23" xr:uid="{F520AD4F-DE00-4F9F-B8A8-BF9E90E595A5}">
      <formula1>100</formula1>
      <formula2>2150</formula2>
    </dataValidation>
    <dataValidation type="whole" allowBlank="1" showErrorMessage="1" errorTitle="MAX 1300 mm" error="MAXIMUM 1300 mm x 2500 mm" sqref="AD35:AF35" xr:uid="{5B97EB85-03AB-4C6F-A9EC-10FEFB2E19FA}">
      <formula1>100</formula1>
      <formula2>1300</formula2>
    </dataValidation>
    <dataValidation type="whole" allowBlank="1" showInputMessage="1" showErrorMessage="1" errorTitle="Minimum 80 mm" sqref="G34:J34 O34:R34" xr:uid="{622C18A7-DE60-491D-BAC9-EF3ED456B10C}">
      <formula1>80</formula1>
      <formula2>1300</formula2>
    </dataValidation>
  </dataValidations>
  <hyperlinks>
    <hyperlink ref="AK2:AN3" location="Hlavní!A1" display="Hlavní!A1" xr:uid="{CE04EFC9-8053-40B6-9E9C-F463DF92139B}"/>
    <hyperlink ref="V8:X8" location="Ram_2!A1" display="Ram_2!A1" xr:uid="{11088192-3F6B-4843-B0B3-0A62CD039EA4}"/>
    <hyperlink ref="Z8:AB8" location="Ram_3!A1" display="Ram_3!A1" xr:uid="{1A110D56-1C0F-411A-BE51-D87DD9E0B7D9}"/>
    <hyperlink ref="AD8:AF8" location="Ram_4!A1" display="Ram_4!A1" xr:uid="{2484CB16-BE19-42A8-9081-AA960474DD32}"/>
    <hyperlink ref="AH8:AJ8" location="Ram_5!A1" display="Ram_5!A1" xr:uid="{FA75839B-7337-4318-98B3-5707544A01B1}"/>
    <hyperlink ref="AL8:AN8" location="Ram_6!A1" display="Ram_6!A1" xr:uid="{C458C1B6-49C5-4CCE-9AEC-406B68E0FDDB}"/>
    <hyperlink ref="R8:T8" location="Ram_1!A1" display="Ram_1!A1" xr:uid="{D6054E8A-2996-455A-9168-531CD4E1658B}"/>
    <hyperlink ref="AF48:AK49" location="_souhrn!A1" display="Souhrn" xr:uid="{8C1C1C56-8208-4336-87C3-91040DE07A6C}"/>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44737" r:id="rId3" name="Check Box 1967">
              <controlPr locked="0" defaultSize="0" autoFill="0" autoLine="0" autoPict="0">
                <anchor moveWithCells="1">
                  <from>
                    <xdr:col>26</xdr:col>
                    <xdr:colOff>866775</xdr:colOff>
                    <xdr:row>0</xdr:row>
                    <xdr:rowOff>0</xdr:rowOff>
                  </from>
                  <to>
                    <xdr:col>27</xdr:col>
                    <xdr:colOff>0</xdr:colOff>
                    <xdr:row>0</xdr:row>
                    <xdr:rowOff>209550</xdr:rowOff>
                  </to>
                </anchor>
              </controlPr>
            </control>
          </mc:Choice>
        </mc:AlternateContent>
        <mc:AlternateContent xmlns:mc="http://schemas.openxmlformats.org/markup-compatibility/2006">
          <mc:Choice Requires="x14">
            <control shapeId="244738" r:id="rId4" name="Option Button 2">
              <controlPr defaultSize="0" autoFill="0" autoLine="0" autoPict="0">
                <anchor moveWithCells="1">
                  <from>
                    <xdr:col>8</xdr:col>
                    <xdr:colOff>133350</xdr:colOff>
                    <xdr:row>33</xdr:row>
                    <xdr:rowOff>200025</xdr:rowOff>
                  </from>
                  <to>
                    <xdr:col>9</xdr:col>
                    <xdr:colOff>466725</xdr:colOff>
                    <xdr:row>35</xdr:row>
                    <xdr:rowOff>66675</xdr:rowOff>
                  </to>
                </anchor>
              </controlPr>
            </control>
          </mc:Choice>
        </mc:AlternateContent>
        <mc:AlternateContent xmlns:mc="http://schemas.openxmlformats.org/markup-compatibility/2006">
          <mc:Choice Requires="x14">
            <control shapeId="244739" r:id="rId5" name="Option Button 3">
              <controlPr defaultSize="0" autoFill="0" autoLine="0" autoPict="0">
                <anchor moveWithCells="1">
                  <from>
                    <xdr:col>11</xdr:col>
                    <xdr:colOff>133350</xdr:colOff>
                    <xdr:row>33</xdr:row>
                    <xdr:rowOff>200025</xdr:rowOff>
                  </from>
                  <to>
                    <xdr:col>12</xdr:col>
                    <xdr:colOff>466725</xdr:colOff>
                    <xdr:row>35</xdr:row>
                    <xdr:rowOff>66675</xdr:rowOff>
                  </to>
                </anchor>
              </controlPr>
            </control>
          </mc:Choice>
        </mc:AlternateContent>
        <mc:AlternateContent xmlns:mc="http://schemas.openxmlformats.org/markup-compatibility/2006">
          <mc:Choice Requires="x14">
            <control shapeId="244740" r:id="rId6" name="Option Button 4">
              <controlPr defaultSize="0" autoFill="0" autoLine="0" autoPict="0">
                <anchor moveWithCells="1">
                  <from>
                    <xdr:col>14</xdr:col>
                    <xdr:colOff>114300</xdr:colOff>
                    <xdr:row>33</xdr:row>
                    <xdr:rowOff>200025</xdr:rowOff>
                  </from>
                  <to>
                    <xdr:col>16</xdr:col>
                    <xdr:colOff>95250</xdr:colOff>
                    <xdr:row>35</xdr:row>
                    <xdr:rowOff>66675</xdr:rowOff>
                  </to>
                </anchor>
              </controlPr>
            </control>
          </mc:Choice>
        </mc:AlternateContent>
        <mc:AlternateContent xmlns:mc="http://schemas.openxmlformats.org/markup-compatibility/2006">
          <mc:Choice Requires="x14">
            <control shapeId="244741" r:id="rId7" name="Check Box 5">
              <controlPr defaultSize="0" autoFill="0" autoLine="0" autoPict="0">
                <anchor moveWithCells="1">
                  <from>
                    <xdr:col>8</xdr:col>
                    <xdr:colOff>219075</xdr:colOff>
                    <xdr:row>11</xdr:row>
                    <xdr:rowOff>247650</xdr:rowOff>
                  </from>
                  <to>
                    <xdr:col>9</xdr:col>
                    <xdr:colOff>552450</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BM112"/>
  <sheetViews>
    <sheetView showGridLines="0" showRowColHeaders="0" zoomScale="85" zoomScaleNormal="85" workbookViewId="0">
      <selection activeCell="AJ2" sqref="AJ2:AN3"/>
    </sheetView>
  </sheetViews>
  <sheetFormatPr defaultColWidth="0" defaultRowHeight="14.85" customHeight="1" zeroHeight="1"/>
  <cols>
    <col min="1" max="1" width="3.7109375" style="1" customWidth="1"/>
    <col min="2" max="2" width="4.42578125" style="1" customWidth="1"/>
    <col min="3" max="3" width="18.85546875" style="1" customWidth="1"/>
    <col min="4" max="4" width="4.85546875" style="1" customWidth="1"/>
    <col min="5" max="7" width="7.7109375" style="1" customWidth="1"/>
    <col min="8" max="8" width="5.42578125" style="1" customWidth="1"/>
    <col min="9" max="11" width="7.7109375" style="1" customWidth="1"/>
    <col min="12" max="12" width="5.140625" style="1" customWidth="1"/>
    <col min="13" max="15" width="7.7109375" style="1" customWidth="1"/>
    <col min="16" max="18" width="2.5703125" style="1" customWidth="1"/>
    <col min="19" max="21" width="5.42578125" style="1" customWidth="1"/>
    <col min="22" max="22" width="3.42578125" style="1" customWidth="1"/>
    <col min="23" max="26" width="5.42578125" style="1" customWidth="1"/>
    <col min="27" max="27" width="6" style="1" customWidth="1"/>
    <col min="28" max="28" width="5.7109375" style="1" customWidth="1"/>
    <col min="29" max="29" width="5.42578125" style="1" customWidth="1"/>
    <col min="30" max="30" width="5.42578125" style="82" customWidth="1"/>
    <col min="31" max="31" width="5.42578125" style="77" customWidth="1"/>
    <col min="32" max="35" width="5.42578125" style="1" customWidth="1"/>
    <col min="36" max="36" width="5.5703125" style="1" customWidth="1"/>
    <col min="37" max="37" width="3.42578125" style="1" customWidth="1"/>
    <col min="38" max="38" width="14.85546875" style="1" customWidth="1"/>
    <col min="39" max="39" width="6.140625" style="1" customWidth="1"/>
    <col min="40" max="40" width="3.85546875" style="1" customWidth="1"/>
    <col min="41" max="41" width="7.7109375" style="1" hidden="1" customWidth="1"/>
    <col min="42" max="42" width="7.7109375" style="39" hidden="1" customWidth="1"/>
    <col min="43" max="43" width="11.7109375" style="39" hidden="1" customWidth="1"/>
    <col min="44" max="46" width="7.7109375" style="39" hidden="1" customWidth="1"/>
    <col min="47" max="48" width="7.7109375" style="448" hidden="1" customWidth="1"/>
    <col min="49" max="53" width="7.7109375" style="39" hidden="1" customWidth="1"/>
    <col min="54" max="54" width="14.42578125" style="39" hidden="1" customWidth="1"/>
    <col min="55" max="57" width="7.7109375" style="39" hidden="1" customWidth="1"/>
    <col min="58" max="58" width="10.5703125" style="39" hidden="1" customWidth="1"/>
    <col min="59" max="63" width="7.7109375" style="39" hidden="1" customWidth="1"/>
    <col min="64" max="64" width="21.28515625" style="39" hidden="1" customWidth="1"/>
    <col min="65" max="65" width="26.42578125" style="39" hidden="1" customWidth="1"/>
    <col min="66" max="16384" width="7.7109375" style="39" hidden="1"/>
  </cols>
  <sheetData>
    <row r="1" spans="1:43" ht="8.85" customHeight="1">
      <c r="A1" s="174"/>
      <c r="B1" s="174"/>
      <c r="C1" s="174"/>
      <c r="D1" s="174"/>
      <c r="E1" s="174"/>
      <c r="F1" s="174"/>
      <c r="G1" s="174"/>
      <c r="H1" s="174"/>
      <c r="I1" s="174"/>
      <c r="J1" s="174"/>
      <c r="K1" s="174"/>
      <c r="L1" s="174"/>
      <c r="M1" s="174"/>
      <c r="N1" s="174"/>
      <c r="O1" s="174"/>
      <c r="P1" s="174"/>
      <c r="Q1" s="174"/>
      <c r="R1" s="174"/>
      <c r="S1" s="174"/>
      <c r="T1" s="174"/>
      <c r="U1" s="174"/>
    </row>
    <row r="2" spans="1:43" ht="11.85" customHeight="1">
      <c r="A2" s="175"/>
      <c r="B2" s="175"/>
      <c r="C2" s="175"/>
      <c r="D2" s="175"/>
      <c r="E2" s="175"/>
      <c r="F2" s="175"/>
      <c r="G2" s="175"/>
      <c r="H2" s="175"/>
      <c r="I2" s="175"/>
      <c r="J2" s="175"/>
      <c r="K2" s="175"/>
      <c r="L2" s="175"/>
      <c r="M2" s="175"/>
      <c r="N2" s="175"/>
      <c r="O2" s="175"/>
      <c r="P2" s="780" t="str">
        <f>'Translate&amp;Prices&amp;Logo'!$B$278</f>
        <v>Sliding frames</v>
      </c>
      <c r="Q2" s="780"/>
      <c r="R2" s="780"/>
      <c r="S2" s="780"/>
      <c r="T2" s="780"/>
      <c r="U2" s="780"/>
      <c r="V2" s="780"/>
      <c r="W2" s="780"/>
      <c r="X2" s="780"/>
      <c r="Y2" s="780"/>
      <c r="Z2" s="780"/>
      <c r="AA2" s="780"/>
      <c r="AB2" s="780"/>
      <c r="AC2" s="120"/>
      <c r="AD2" s="121"/>
      <c r="AE2" s="122"/>
      <c r="AF2" s="120"/>
      <c r="AG2" s="120"/>
      <c r="AH2" s="120"/>
      <c r="AI2" s="418"/>
      <c r="AJ2" s="747" t="str">
        <f>'Translate&amp;Prices&amp;Logo'!$B$540</f>
        <v>Main page</v>
      </c>
      <c r="AK2" s="748"/>
      <c r="AL2" s="748"/>
      <c r="AM2" s="748"/>
      <c r="AN2" s="748"/>
    </row>
    <row r="3" spans="1:43" ht="11.85" customHeight="1">
      <c r="A3" s="175"/>
      <c r="B3" s="175"/>
      <c r="C3" s="175"/>
      <c r="D3" s="175"/>
      <c r="E3" s="175"/>
      <c r="F3" s="175"/>
      <c r="G3" s="175"/>
      <c r="H3" s="175"/>
      <c r="I3" s="175"/>
      <c r="J3" s="175"/>
      <c r="K3" s="175"/>
      <c r="L3" s="175"/>
      <c r="M3" s="175"/>
      <c r="N3" s="175"/>
      <c r="O3" s="175"/>
      <c r="P3" s="780"/>
      <c r="Q3" s="780"/>
      <c r="R3" s="780"/>
      <c r="S3" s="780"/>
      <c r="T3" s="780"/>
      <c r="U3" s="780"/>
      <c r="V3" s="780"/>
      <c r="W3" s="780"/>
      <c r="X3" s="780"/>
      <c r="Y3" s="780"/>
      <c r="Z3" s="780"/>
      <c r="AA3" s="780"/>
      <c r="AB3" s="780"/>
      <c r="AC3" s="120"/>
      <c r="AD3" s="121"/>
      <c r="AE3" s="122"/>
      <c r="AF3" s="120"/>
      <c r="AG3" s="120"/>
      <c r="AH3" s="120"/>
      <c r="AI3" s="418"/>
      <c r="AJ3" s="747"/>
      <c r="AK3" s="748"/>
      <c r="AL3" s="748"/>
      <c r="AM3" s="748"/>
      <c r="AN3" s="748"/>
    </row>
    <row r="4" spans="1:43" ht="11.45" customHeight="1">
      <c r="A4" s="174"/>
      <c r="B4" s="174"/>
      <c r="C4" s="174"/>
      <c r="D4" s="174"/>
      <c r="E4" s="174"/>
      <c r="F4" s="174"/>
      <c r="G4" s="174"/>
      <c r="P4" s="782"/>
      <c r="Q4" s="782"/>
      <c r="R4" s="782"/>
      <c r="S4" s="782"/>
      <c r="T4" s="782"/>
      <c r="U4" s="782"/>
      <c r="V4" s="782"/>
      <c r="W4" s="782"/>
      <c r="X4" s="782"/>
      <c r="Y4" s="782"/>
      <c r="Z4" s="782"/>
      <c r="AA4" s="782"/>
      <c r="AB4" s="782"/>
      <c r="AC4" s="782"/>
    </row>
    <row r="5" spans="1:43" ht="15" hidden="1" customHeight="1">
      <c r="A5" s="174"/>
      <c r="B5" s="174"/>
      <c r="C5" s="174"/>
      <c r="D5" s="174"/>
      <c r="E5" s="174"/>
      <c r="F5" s="174"/>
      <c r="G5" s="174"/>
      <c r="P5" s="782"/>
      <c r="Q5" s="782"/>
      <c r="R5" s="782"/>
      <c r="S5" s="782"/>
      <c r="T5" s="782"/>
      <c r="U5" s="782"/>
      <c r="V5" s="782"/>
      <c r="W5" s="782"/>
      <c r="X5" s="782"/>
      <c r="Y5" s="782"/>
      <c r="Z5" s="782"/>
      <c r="AA5" s="782"/>
      <c r="AB5" s="782"/>
      <c r="AC5" s="782"/>
    </row>
    <row r="7" spans="1:43" ht="14.85" customHeight="1">
      <c r="S7" s="749" t="str">
        <f>'Translate&amp;Prices&amp;Logo'!$B$275</f>
        <v>The standard door overlaps are shown here</v>
      </c>
      <c r="T7" s="749"/>
      <c r="U7" s="749"/>
      <c r="V7" s="749"/>
      <c r="W7" s="749"/>
      <c r="X7" s="749"/>
      <c r="Y7" s="749"/>
      <c r="Z7" s="749"/>
      <c r="AA7" s="749"/>
      <c r="AB7" s="749"/>
      <c r="AC7" s="749"/>
    </row>
    <row r="8" spans="1:43" ht="7.35" customHeight="1"/>
    <row r="9" spans="1:43" ht="15">
      <c r="C9" s="781" t="str">
        <f>'Translate&amp;Prices&amp;Logo'!$B$249</f>
        <v>Customer</v>
      </c>
      <c r="D9" s="781"/>
      <c r="E9" s="781"/>
      <c r="F9" s="781"/>
      <c r="G9" s="781"/>
      <c r="H9" s="443"/>
      <c r="I9" s="522"/>
      <c r="J9" s="522"/>
      <c r="K9" s="522"/>
      <c r="L9" s="522"/>
      <c r="M9" s="522"/>
      <c r="N9" s="522"/>
      <c r="S9" s="776" t="s">
        <v>28</v>
      </c>
      <c r="T9" s="776"/>
      <c r="U9" s="172"/>
      <c r="V9" s="774">
        <v>20</v>
      </c>
      <c r="W9" s="774"/>
      <c r="Y9" s="776" t="s">
        <v>665</v>
      </c>
      <c r="Z9" s="776"/>
      <c r="AA9" s="172"/>
      <c r="AB9" s="774" t="s">
        <v>373</v>
      </c>
      <c r="AC9" s="774"/>
    </row>
    <row r="10" spans="1:43" ht="6.6" customHeight="1">
      <c r="C10" s="203"/>
      <c r="D10" s="203"/>
      <c r="E10" s="203"/>
      <c r="F10" s="203"/>
      <c r="G10" s="203"/>
    </row>
    <row r="11" spans="1:43" ht="15">
      <c r="C11" s="781" t="str">
        <f>'Translate&amp;Prices&amp;Logo'!$B$253</f>
        <v>ID No:</v>
      </c>
      <c r="D11" s="781"/>
      <c r="E11" s="781"/>
      <c r="F11" s="781"/>
      <c r="G11" s="781"/>
      <c r="H11" s="443"/>
      <c r="I11" s="522"/>
      <c r="J11" s="522"/>
      <c r="K11" s="522"/>
      <c r="L11" s="522"/>
      <c r="M11" s="522"/>
      <c r="N11" s="522"/>
      <c r="S11" s="776" t="s">
        <v>651</v>
      </c>
      <c r="T11" s="776"/>
      <c r="U11" s="172"/>
      <c r="V11" s="774">
        <v>20</v>
      </c>
      <c r="W11" s="774"/>
      <c r="Y11" s="776" t="s">
        <v>5324</v>
      </c>
      <c r="Z11" s="776"/>
      <c r="AA11" s="172"/>
      <c r="AB11" s="774">
        <v>28</v>
      </c>
      <c r="AC11" s="774"/>
    </row>
    <row r="12" spans="1:43" ht="6.6" customHeight="1">
      <c r="C12" s="203"/>
      <c r="D12" s="203"/>
      <c r="E12" s="203"/>
      <c r="F12" s="203"/>
      <c r="G12" s="203"/>
    </row>
    <row r="13" spans="1:43" ht="15">
      <c r="C13" s="781" t="str">
        <f>'Translate&amp;Prices&amp;Logo'!$B$250</f>
        <v>Phone:</v>
      </c>
      <c r="D13" s="781"/>
      <c r="E13" s="781"/>
      <c r="F13" s="781"/>
      <c r="G13" s="781"/>
      <c r="H13" s="443"/>
      <c r="I13" s="522"/>
      <c r="J13" s="522"/>
      <c r="K13" s="522"/>
      <c r="L13" s="522"/>
      <c r="M13" s="522"/>
      <c r="N13" s="522"/>
      <c r="S13" s="776" t="s">
        <v>5323</v>
      </c>
      <c r="T13" s="776"/>
      <c r="U13" s="172"/>
      <c r="V13" s="774">
        <v>28</v>
      </c>
      <c r="W13" s="774"/>
      <c r="Y13" s="776" t="s">
        <v>669</v>
      </c>
      <c r="Z13" s="776"/>
      <c r="AA13" s="172"/>
      <c r="AB13" s="774">
        <v>40</v>
      </c>
      <c r="AC13" s="774"/>
      <c r="AQ13" s="415" t="b">
        <v>0</v>
      </c>
    </row>
    <row r="14" spans="1:43" ht="6.6" customHeight="1">
      <c r="C14" s="203"/>
      <c r="D14" s="203"/>
      <c r="E14" s="203"/>
      <c r="F14" s="203"/>
      <c r="G14" s="203"/>
    </row>
    <row r="15" spans="1:43" ht="15">
      <c r="C15" s="781" t="str">
        <f>'Translate&amp;Prices&amp;Logo'!$B$254</f>
        <v>Discount on frames</v>
      </c>
      <c r="D15" s="781"/>
      <c r="E15" s="781"/>
      <c r="F15" s="781"/>
      <c r="G15" s="781"/>
      <c r="H15" s="443"/>
      <c r="I15" s="522"/>
      <c r="J15" s="522"/>
      <c r="K15" s="522"/>
      <c r="L15" s="522"/>
      <c r="M15" s="522"/>
      <c r="N15" s="522"/>
      <c r="S15" s="776" t="s">
        <v>644</v>
      </c>
      <c r="T15" s="776"/>
      <c r="U15" s="172"/>
      <c r="V15" s="774">
        <v>45</v>
      </c>
      <c r="W15" s="774"/>
      <c r="Y15" s="776" t="s">
        <v>668</v>
      </c>
      <c r="Z15" s="776"/>
      <c r="AA15" s="172"/>
      <c r="AB15" s="774">
        <v>40</v>
      </c>
      <c r="AC15" s="774"/>
    </row>
    <row r="16" spans="1:43" ht="6.6" customHeight="1">
      <c r="C16" s="203"/>
      <c r="D16" s="203"/>
      <c r="E16" s="203"/>
      <c r="F16" s="203"/>
      <c r="G16" s="203"/>
      <c r="I16" s="39"/>
      <c r="J16" s="39"/>
      <c r="K16" s="39"/>
      <c r="L16" s="39"/>
      <c r="M16" s="39"/>
      <c r="N16" s="39"/>
    </row>
    <row r="17" spans="1:65" ht="15">
      <c r="C17" s="777" t="str">
        <f>IF(Hlavní!V39=3,"Dostawa","")</f>
        <v/>
      </c>
      <c r="D17" s="777"/>
      <c r="E17" s="777"/>
      <c r="F17" s="777"/>
      <c r="G17" s="777"/>
      <c r="H17" s="160"/>
      <c r="I17" s="775"/>
      <c r="J17" s="775"/>
      <c r="K17" s="775"/>
      <c r="L17" s="775"/>
      <c r="M17" s="775"/>
      <c r="N17" s="775"/>
      <c r="S17" s="776" t="s">
        <v>673</v>
      </c>
      <c r="T17" s="776"/>
      <c r="U17" s="172"/>
      <c r="V17" s="774">
        <v>20</v>
      </c>
      <c r="W17" s="774"/>
      <c r="Y17" s="776" t="s">
        <v>674</v>
      </c>
      <c r="Z17" s="776"/>
      <c r="AA17" s="172"/>
      <c r="AB17" s="774">
        <v>40</v>
      </c>
      <c r="AC17" s="774"/>
    </row>
    <row r="18" spans="1:65" ht="33.75" customHeight="1">
      <c r="C18" s="778" t="str">
        <f>IF(I17="Dostawa na adres","W przypadku wyboru DOSTAWA NA ADRES do zamówienia zostanie automatycznie doliczona opłata transportowa","")</f>
        <v/>
      </c>
      <c r="D18" s="778"/>
      <c r="E18" s="778"/>
      <c r="F18" s="778"/>
      <c r="G18" s="778"/>
      <c r="H18" s="778"/>
      <c r="I18" s="778"/>
      <c r="J18" s="778"/>
      <c r="K18" s="779" t="str">
        <f>IF(I17="Dostawa na adres","Cennik transportu - kliknij tutaj","")</f>
        <v/>
      </c>
      <c r="L18" s="779"/>
      <c r="M18" s="779"/>
      <c r="N18" s="779"/>
    </row>
    <row r="19" spans="1:65" ht="14.85" customHeight="1">
      <c r="C19" s="777" t="str">
        <f>IF(Hlavní!V39=3,"Adres","")</f>
        <v/>
      </c>
      <c r="D19" s="777"/>
      <c r="E19" s="777"/>
      <c r="F19" s="777"/>
      <c r="G19" s="777"/>
      <c r="H19" s="160"/>
      <c r="I19" s="775"/>
      <c r="J19" s="775"/>
      <c r="K19" s="775"/>
      <c r="L19" s="775"/>
      <c r="M19" s="775"/>
      <c r="N19" s="775"/>
    </row>
    <row r="20" spans="1:65" s="449" customFormat="1" ht="11.45" customHeight="1">
      <c r="A20" s="160"/>
      <c r="B20" s="160"/>
      <c r="C20" s="1"/>
      <c r="D20" s="1"/>
      <c r="E20" s="1"/>
      <c r="F20" s="1"/>
      <c r="G20" s="1"/>
      <c r="H20" s="1"/>
      <c r="I20" s="775"/>
      <c r="J20" s="775"/>
      <c r="K20" s="775"/>
      <c r="L20" s="775"/>
      <c r="M20" s="775"/>
      <c r="N20" s="775"/>
      <c r="O20" s="160"/>
      <c r="P20" s="160"/>
      <c r="Q20" s="160"/>
      <c r="R20" s="247"/>
      <c r="S20" s="199"/>
      <c r="T20" s="199"/>
      <c r="U20" s="160"/>
      <c r="V20" s="200"/>
      <c r="W20" s="200"/>
      <c r="X20" s="160"/>
      <c r="Y20" s="160"/>
      <c r="Z20" s="160"/>
      <c r="AA20" s="160"/>
      <c r="AB20" s="160"/>
      <c r="AC20" s="160"/>
      <c r="AD20" s="201"/>
      <c r="AE20" s="202"/>
      <c r="AF20" s="160"/>
      <c r="AG20" s="160"/>
      <c r="AH20" s="160"/>
      <c r="AI20" s="160"/>
      <c r="AJ20" s="160"/>
      <c r="AK20" s="160"/>
      <c r="AL20" s="160"/>
      <c r="AM20" s="160"/>
      <c r="AN20" s="160"/>
      <c r="AO20" s="160"/>
      <c r="AU20" s="450"/>
      <c r="AV20" s="450"/>
    </row>
    <row r="21" spans="1:65" ht="14.85" customHeight="1">
      <c r="I21" s="775"/>
      <c r="J21" s="775"/>
      <c r="K21" s="775"/>
      <c r="L21" s="775"/>
      <c r="M21" s="775"/>
      <c r="N21" s="775"/>
      <c r="R21" s="246"/>
    </row>
    <row r="22" spans="1:65" ht="14.85" customHeight="1">
      <c r="R22" s="246"/>
      <c r="S22" s="752" t="str">
        <f>'Translate&amp;Prices&amp;Logo'!$B$225</f>
        <v>Supply including specified fittings</v>
      </c>
      <c r="T22" s="752"/>
      <c r="U22" s="752"/>
      <c r="V22" s="752"/>
      <c r="W22" s="752"/>
      <c r="X22" s="752"/>
      <c r="Y22" s="752"/>
      <c r="Z22" s="752"/>
      <c r="AA22" s="752"/>
      <c r="AB22" s="752"/>
      <c r="AC22" s="752" t="str">
        <f>'Translate&amp;Prices&amp;Logo'!$B$326</f>
        <v>Quantity (pieces)</v>
      </c>
      <c r="AD22" s="752"/>
      <c r="AE22" s="752"/>
      <c r="AF22" s="160"/>
      <c r="AG22" s="752" t="str">
        <f>'Translate&amp;Prices&amp;Logo'!$B$325</f>
        <v>Other Request (pieces)</v>
      </c>
      <c r="AH22" s="752"/>
      <c r="AI22" s="752"/>
      <c r="AJ22" s="752"/>
      <c r="AL22" s="752" t="str">
        <f>'Translate&amp;Prices&amp;Logo'!$B$692</f>
        <v>Price</v>
      </c>
      <c r="AM22" s="752"/>
      <c r="AN22" s="416"/>
      <c r="AO22" s="416"/>
      <c r="AQ22" s="451" t="s">
        <v>333</v>
      </c>
      <c r="AR22" s="451" t="s">
        <v>334</v>
      </c>
      <c r="AS22" s="451" t="s">
        <v>108</v>
      </c>
      <c r="AT22" s="451" t="s">
        <v>109</v>
      </c>
    </row>
    <row r="23" spans="1:65" ht="6" customHeight="1" thickBot="1">
      <c r="R23" s="158">
        <f>IF(AQ13=TRUE,1,0)</f>
        <v>0</v>
      </c>
      <c r="AQ23" s="451"/>
      <c r="AR23" s="451"/>
      <c r="AS23" s="451"/>
      <c r="AT23" s="451"/>
    </row>
    <row r="24" spans="1:65" ht="14.85" customHeight="1">
      <c r="E24" s="759" t="str">
        <f>"1."&amp;" "&amp;'Translate&amp;Prices&amp;Logo'!$B$169</f>
        <v>1. Frame</v>
      </c>
      <c r="F24" s="760"/>
      <c r="G24" s="761"/>
      <c r="H24" s="158"/>
      <c r="I24" s="759" t="str">
        <f>"2."&amp;" "&amp;'Translate&amp;Prices&amp;Logo'!$B$169</f>
        <v>2. Frame</v>
      </c>
      <c r="J24" s="760"/>
      <c r="K24" s="761"/>
      <c r="L24" s="158"/>
      <c r="M24" s="759" t="str">
        <f>"3."&amp;" "&amp;'Translate&amp;Prices&amp;Logo'!$B$169</f>
        <v>3. Frame</v>
      </c>
      <c r="N24" s="760"/>
      <c r="O24" s="761"/>
      <c r="R24" s="246"/>
      <c r="S24" s="757" t="str">
        <f>'Translate&amp;Prices&amp;Logo'!$B$317</f>
        <v>H27AL narrow frame fitting set (88630)</v>
      </c>
      <c r="T24" s="757"/>
      <c r="U24" s="757"/>
      <c r="V24" s="757"/>
      <c r="W24" s="757"/>
      <c r="X24" s="757"/>
      <c r="Y24" s="757"/>
      <c r="Z24" s="757"/>
      <c r="AA24" s="757"/>
      <c r="AB24" s="172"/>
      <c r="AC24" s="758">
        <f>IFERROR(IF(O44&gt;=1,IF(R23=1,IF(AK25&gt;=1,AG24,O44),0),0),0)</f>
        <v>0</v>
      </c>
      <c r="AD24" s="758"/>
      <c r="AE24" s="758"/>
      <c r="AF24" s="393" t="s">
        <v>2184</v>
      </c>
      <c r="AG24" s="756"/>
      <c r="AH24" s="756"/>
      <c r="AI24" s="756"/>
      <c r="AJ24" s="756"/>
      <c r="AK24" s="172"/>
      <c r="AL24" s="417">
        <f>AC24*AP24*(1-$I$15/100)</f>
        <v>0</v>
      </c>
      <c r="AM24" s="413" t="str">
        <f>VLOOKUP('Translate&amp;Prices&amp;Logo'!$D$1,kombinace_1!$EV$1:$EW$6,2,0)</f>
        <v>€</v>
      </c>
      <c r="AP24" s="452">
        <f>IF('Translate&amp;Prices&amp;Logo'!$D$1=1,AQ24,
IF(OR('Translate&amp;Prices&amp;Logo'!$D$1=2,'Translate&amp;Prices&amp;Logo'!$D$1=5,'Translate&amp;Prices&amp;Logo'!$D$1=6),AR24,
IF('Translate&amp;Prices&amp;Logo'!$D$1=3,AS24,AT24)))</f>
        <v>17.30472</v>
      </c>
      <c r="AQ24" s="453">
        <v>423.69600000000003</v>
      </c>
      <c r="AR24" s="454">
        <v>17.30472</v>
      </c>
      <c r="AS24" s="454">
        <v>78.362129999999993</v>
      </c>
      <c r="AT24" s="454">
        <v>7346.3419400000002</v>
      </c>
      <c r="AU24" s="39">
        <v>88630</v>
      </c>
      <c r="AY24" s="1"/>
      <c r="AZ24" s="1"/>
      <c r="BA24" s="1"/>
      <c r="BB24" s="1"/>
      <c r="BC24" s="1"/>
      <c r="BD24" s="1"/>
      <c r="BE24" s="81"/>
      <c r="BF24" s="81"/>
      <c r="BG24" s="1"/>
      <c r="BH24" s="1"/>
      <c r="BI24" s="1"/>
      <c r="BJ24" s="1"/>
      <c r="BK24" s="1"/>
      <c r="BL24" s="1"/>
      <c r="BM24" s="1"/>
    </row>
    <row r="25" spans="1:65" ht="14.85" customHeight="1">
      <c r="E25" s="391"/>
      <c r="F25" s="158"/>
      <c r="G25" s="392"/>
      <c r="H25" s="158"/>
      <c r="I25" s="391"/>
      <c r="J25" s="158"/>
      <c r="K25" s="392"/>
      <c r="L25" s="158"/>
      <c r="M25" s="391"/>
      <c r="N25" s="158"/>
      <c r="O25" s="392"/>
      <c r="R25" s="246"/>
      <c r="S25" s="203"/>
      <c r="T25" s="203"/>
      <c r="U25" s="203"/>
      <c r="V25" s="203"/>
      <c r="W25" s="203"/>
      <c r="X25" s="203"/>
      <c r="Y25" s="203"/>
      <c r="Z25" s="203"/>
      <c r="AA25" s="203"/>
      <c r="AC25" s="158"/>
      <c r="AD25" s="158"/>
      <c r="AE25" s="158"/>
      <c r="AF25" s="158"/>
      <c r="AG25" s="158"/>
      <c r="AH25" s="158"/>
      <c r="AI25" s="158"/>
      <c r="AJ25" s="158"/>
      <c r="AK25" s="159">
        <f>AG24</f>
        <v>0</v>
      </c>
      <c r="AP25" s="455"/>
      <c r="AQ25" s="451"/>
      <c r="AR25" s="451"/>
      <c r="AS25" s="451"/>
      <c r="AT25" s="451"/>
      <c r="AU25" s="39"/>
      <c r="BC25" s="68" t="s">
        <v>4639</v>
      </c>
      <c r="BD25" s="68" t="s">
        <v>4640</v>
      </c>
      <c r="BE25" s="68" t="s">
        <v>4641</v>
      </c>
      <c r="BF25" s="456" t="s">
        <v>4645</v>
      </c>
      <c r="BG25" s="1"/>
      <c r="BH25" s="68" t="s">
        <v>4647</v>
      </c>
      <c r="BI25" s="68" t="s">
        <v>4648</v>
      </c>
      <c r="BJ25" s="68" t="s">
        <v>4649</v>
      </c>
      <c r="BK25" s="68" t="s">
        <v>4650</v>
      </c>
      <c r="BL25" s="68" t="s">
        <v>4651</v>
      </c>
      <c r="BM25" s="68" t="s">
        <v>4652</v>
      </c>
    </row>
    <row r="26" spans="1:65" ht="14.85" customHeight="1">
      <c r="B26" s="707" t="str">
        <f>'Translate&amp;Prices&amp;Logo'!$B$176</f>
        <v>Height</v>
      </c>
      <c r="C26" s="707"/>
      <c r="D26" s="446"/>
      <c r="E26" s="772"/>
      <c r="F26" s="756"/>
      <c r="G26" s="773"/>
      <c r="H26" s="444"/>
      <c r="I26" s="772"/>
      <c r="J26" s="756"/>
      <c r="K26" s="773"/>
      <c r="L26" s="444"/>
      <c r="M26" s="772"/>
      <c r="N26" s="756"/>
      <c r="O26" s="773"/>
      <c r="R26" s="246"/>
      <c r="S26" s="757" t="str">
        <f>'Translate&amp;Prices&amp;Logo'!$B$318</f>
        <v>H37AL wide frame fitting set (88631)</v>
      </c>
      <c r="T26" s="757"/>
      <c r="U26" s="757"/>
      <c r="V26" s="757"/>
      <c r="W26" s="757"/>
      <c r="X26" s="757"/>
      <c r="Y26" s="757"/>
      <c r="Z26" s="757"/>
      <c r="AA26" s="757"/>
      <c r="AB26" s="172"/>
      <c r="AC26" s="758">
        <f>IFERROR(IF(O43&gt;=1,IF(R23=1,IF(AK27&gt;=1,AG26,O43),0),0),0)</f>
        <v>0</v>
      </c>
      <c r="AD26" s="758"/>
      <c r="AE26" s="758"/>
      <c r="AF26" s="393" t="s">
        <v>2184</v>
      </c>
      <c r="AG26" s="756"/>
      <c r="AH26" s="756"/>
      <c r="AI26" s="756"/>
      <c r="AJ26" s="756"/>
      <c r="AK26" s="172"/>
      <c r="AL26" s="417">
        <f>AC26*AP26*(1-$I$15/100)</f>
        <v>0</v>
      </c>
      <c r="AM26" s="413" t="str">
        <f>VLOOKUP('Translate&amp;Prices&amp;Logo'!$D$1,kombinace_1!$EV$1:$EW$6,2,0)</f>
        <v>€</v>
      </c>
      <c r="AP26" s="452">
        <f>IF('Translate&amp;Prices&amp;Logo'!$D$1=1,AQ26,
IF(OR('Translate&amp;Prices&amp;Logo'!$D$1=2,'Translate&amp;Prices&amp;Logo'!$D$1=5,'Translate&amp;Prices&amp;Logo'!$D$1=6),AR26,
IF('Translate&amp;Prices&amp;Logo'!$D$1=3,AS26,AT26)))</f>
        <v>18.137250000000002</v>
      </c>
      <c r="AQ26" s="453">
        <v>444.08</v>
      </c>
      <c r="AR26" s="454">
        <v>18.137250000000002</v>
      </c>
      <c r="AS26" s="454">
        <v>82.132149999999996</v>
      </c>
      <c r="AT26" s="454">
        <v>7699.7741900000001</v>
      </c>
      <c r="AU26" s="39">
        <v>88631</v>
      </c>
      <c r="AZ26" s="1"/>
      <c r="BA26" s="1"/>
      <c r="BB26" s="68" t="s">
        <v>4595</v>
      </c>
      <c r="BC26" s="68">
        <f>E26</f>
        <v>0</v>
      </c>
      <c r="BD26" s="68">
        <f>I26</f>
        <v>0</v>
      </c>
      <c r="BE26" s="68">
        <f>M26</f>
        <v>0</v>
      </c>
      <c r="BF26" s="456">
        <f>MAX(BC26:BE27)</f>
        <v>0</v>
      </c>
      <c r="BG26" s="1"/>
      <c r="BH26" s="68">
        <v>0</v>
      </c>
      <c r="BI26" s="68">
        <v>601</v>
      </c>
      <c r="BJ26" s="68">
        <v>801</v>
      </c>
      <c r="BK26" s="68">
        <v>1500</v>
      </c>
      <c r="BL26" s="68">
        <v>2000</v>
      </c>
      <c r="BM26" s="68">
        <v>2500</v>
      </c>
    </row>
    <row r="27" spans="1:65" ht="14.85" customHeight="1">
      <c r="B27" s="102"/>
      <c r="C27" s="102"/>
      <c r="D27" s="445"/>
      <c r="E27" s="391">
        <v>900</v>
      </c>
      <c r="F27" s="158"/>
      <c r="G27" s="392"/>
      <c r="H27" s="158"/>
      <c r="I27" s="391"/>
      <c r="J27" s="158"/>
      <c r="K27" s="392"/>
      <c r="L27" s="158"/>
      <c r="M27" s="391"/>
      <c r="N27" s="158"/>
      <c r="O27" s="392"/>
      <c r="S27" s="203"/>
      <c r="T27" s="203"/>
      <c r="U27" s="203"/>
      <c r="V27" s="203"/>
      <c r="W27" s="203"/>
      <c r="X27" s="203"/>
      <c r="Y27" s="203"/>
      <c r="Z27" s="203"/>
      <c r="AA27" s="203"/>
      <c r="AC27" s="158"/>
      <c r="AD27" s="158"/>
      <c r="AE27" s="158"/>
      <c r="AF27" s="158"/>
      <c r="AG27" s="158"/>
      <c r="AH27" s="158"/>
      <c r="AI27" s="158"/>
      <c r="AJ27" s="158"/>
      <c r="AK27" s="159">
        <f>AG26</f>
        <v>0</v>
      </c>
      <c r="AP27" s="455"/>
      <c r="AU27" s="39"/>
      <c r="AZ27" s="1"/>
      <c r="BA27" s="1"/>
      <c r="BB27" s="68" t="s">
        <v>4596</v>
      </c>
      <c r="BC27" s="68">
        <f>E28</f>
        <v>0</v>
      </c>
      <c r="BD27" s="68">
        <f>I28</f>
        <v>0</v>
      </c>
      <c r="BE27" s="456">
        <f>M28</f>
        <v>0</v>
      </c>
      <c r="BF27" s="456"/>
      <c r="BG27" s="1"/>
      <c r="BH27" s="68">
        <v>1</v>
      </c>
      <c r="BI27" s="68">
        <v>2</v>
      </c>
      <c r="BJ27" s="68">
        <v>3</v>
      </c>
      <c r="BK27" s="68">
        <v>4</v>
      </c>
      <c r="BL27" s="68">
        <v>5</v>
      </c>
      <c r="BM27" s="68">
        <v>6</v>
      </c>
    </row>
    <row r="28" spans="1:65" ht="14.85" customHeight="1">
      <c r="B28" s="707" t="str">
        <f>'Translate&amp;Prices&amp;Logo'!$B$175</f>
        <v>Width</v>
      </c>
      <c r="C28" s="707"/>
      <c r="D28" s="446"/>
      <c r="E28" s="772"/>
      <c r="F28" s="756"/>
      <c r="G28" s="773"/>
      <c r="H28" s="444"/>
      <c r="I28" s="772"/>
      <c r="J28" s="756"/>
      <c r="K28" s="773"/>
      <c r="L28" s="444"/>
      <c r="M28" s="772"/>
      <c r="N28" s="756"/>
      <c r="O28" s="773"/>
      <c r="S28" s="757" t="str">
        <f>'Translate&amp;Prices&amp;Logo'!$B$321</f>
        <v>Top guide profile length 2 m (87313)</v>
      </c>
      <c r="T28" s="757"/>
      <c r="U28" s="757"/>
      <c r="V28" s="757"/>
      <c r="W28" s="757"/>
      <c r="X28" s="757"/>
      <c r="Y28" s="757"/>
      <c r="Z28" s="757"/>
      <c r="AA28" s="757"/>
      <c r="AB28" s="172"/>
      <c r="AC28" s="758">
        <f>IF(AG28&gt;0,AG28,AK29)</f>
        <v>0</v>
      </c>
      <c r="AD28" s="758"/>
      <c r="AE28" s="758"/>
      <c r="AF28" s="393" t="s">
        <v>2184</v>
      </c>
      <c r="AG28" s="756"/>
      <c r="AH28" s="756"/>
      <c r="AI28" s="756"/>
      <c r="AJ28" s="756"/>
      <c r="AK28" s="172"/>
      <c r="AL28" s="417">
        <f>AC28*AP28*(1-$I$15/100)</f>
        <v>0</v>
      </c>
      <c r="AM28" s="413" t="str">
        <f>VLOOKUP('Translate&amp;Prices&amp;Logo'!$D$1,kombinace_1!$EV$1:$EW$6,2,0)</f>
        <v>€</v>
      </c>
      <c r="AP28" s="452">
        <f>IF('Translate&amp;Prices&amp;Logo'!$D$1=1,AQ28,
IF(OR('Translate&amp;Prices&amp;Logo'!$D$1=2,'Translate&amp;Prices&amp;Logo'!$D$1=5,'Translate&amp;Prices&amp;Logo'!$D$1=6),AR28,
IF('Translate&amp;Prices&amp;Logo'!$D$1=3,AS28,AT28)))</f>
        <v>17.28059</v>
      </c>
      <c r="AQ28" s="453">
        <v>279.55200000000002</v>
      </c>
      <c r="AR28" s="454">
        <v>17.28059</v>
      </c>
      <c r="AS28" s="454">
        <v>92.683340000000001</v>
      </c>
      <c r="AT28" s="454">
        <v>3381.6774300000002</v>
      </c>
      <c r="AU28" s="39">
        <v>87313</v>
      </c>
      <c r="AZ28" s="1"/>
      <c r="BA28" s="1"/>
      <c r="BC28" s="1"/>
      <c r="BD28" s="1"/>
      <c r="BE28" s="81"/>
      <c r="BF28" s="81"/>
      <c r="BG28" s="1"/>
      <c r="BH28" s="68">
        <v>39.799999999999997</v>
      </c>
      <c r="BI28" s="68">
        <v>49.5</v>
      </c>
      <c r="BJ28" s="68">
        <v>106</v>
      </c>
      <c r="BK28" s="68">
        <v>297.5</v>
      </c>
      <c r="BL28" s="68">
        <v>351</v>
      </c>
      <c r="BM28" s="68">
        <v>456.5</v>
      </c>
    </row>
    <row r="29" spans="1:65" ht="14.85" customHeight="1">
      <c r="B29" s="102"/>
      <c r="C29" s="102"/>
      <c r="D29" s="445"/>
      <c r="E29" s="391"/>
      <c r="F29" s="158"/>
      <c r="G29" s="392"/>
      <c r="H29" s="158"/>
      <c r="I29" s="391"/>
      <c r="J29" s="158"/>
      <c r="K29" s="392"/>
      <c r="L29" s="158"/>
      <c r="M29" s="391"/>
      <c r="N29" s="158"/>
      <c r="O29" s="392"/>
      <c r="S29" s="203"/>
      <c r="T29" s="203"/>
      <c r="U29" s="203"/>
      <c r="V29" s="203"/>
      <c r="W29" s="203"/>
      <c r="X29" s="203"/>
      <c r="Y29" s="203"/>
      <c r="Z29" s="203"/>
      <c r="AA29" s="203"/>
      <c r="AC29" s="158"/>
      <c r="AD29" s="158"/>
      <c r="AE29" s="158"/>
      <c r="AF29" s="158"/>
      <c r="AG29" s="158"/>
      <c r="AH29" s="158"/>
      <c r="AI29" s="158"/>
      <c r="AJ29" s="158"/>
      <c r="AK29" s="159">
        <f>SUM(AC45,AE45)</f>
        <v>0</v>
      </c>
      <c r="AP29" s="455"/>
      <c r="AQ29" s="453"/>
      <c r="AR29" s="454"/>
      <c r="AS29" s="454"/>
      <c r="AT29" s="454"/>
      <c r="AU29" s="39"/>
      <c r="AZ29" s="1"/>
      <c r="BA29" s="1"/>
      <c r="BB29" s="751" t="s">
        <v>4659</v>
      </c>
      <c r="BC29" s="68">
        <f>IF(E39="",1,2)</f>
        <v>1</v>
      </c>
      <c r="BD29" s="68">
        <f>IF(I359="",1,2)</f>
        <v>1</v>
      </c>
      <c r="BE29" s="456">
        <f>IF(M35="",1,2)</f>
        <v>1</v>
      </c>
      <c r="BF29" s="456">
        <f>IF(OR(BC29=2,BD29=2,BE29=2),BH30,BH39)</f>
        <v>35.35</v>
      </c>
      <c r="BG29" s="1"/>
      <c r="BH29" s="1">
        <f>MATCH(BF26,BH26:BM26,1)</f>
        <v>1</v>
      </c>
      <c r="BI29" s="1"/>
      <c r="BJ29" s="1"/>
      <c r="BK29" s="1"/>
      <c r="BL29" s="1"/>
      <c r="BM29" s="1"/>
    </row>
    <row r="30" spans="1:65" ht="15">
      <c r="B30" s="707" t="str">
        <f>'Translate&amp;Prices&amp;Logo'!$B$174</f>
        <v>Quantity</v>
      </c>
      <c r="C30" s="707"/>
      <c r="D30" s="446"/>
      <c r="E30" s="772"/>
      <c r="F30" s="756"/>
      <c r="G30" s="773"/>
      <c r="H30" s="444"/>
      <c r="I30" s="772"/>
      <c r="J30" s="756"/>
      <c r="K30" s="773"/>
      <c r="L30" s="444"/>
      <c r="M30" s="772"/>
      <c r="N30" s="756"/>
      <c r="O30" s="773"/>
      <c r="S30" s="757" t="str">
        <f>'Translate&amp;Prices&amp;Logo'!$B$322</f>
        <v>Bottom guide profile, length 2 m (87315)</v>
      </c>
      <c r="T30" s="757"/>
      <c r="U30" s="757"/>
      <c r="V30" s="757"/>
      <c r="W30" s="757"/>
      <c r="X30" s="757"/>
      <c r="Y30" s="757"/>
      <c r="Z30" s="757"/>
      <c r="AA30" s="757"/>
      <c r="AB30" s="172"/>
      <c r="AC30" s="758">
        <f>IF(AG30&gt;0,AG30,AK31)</f>
        <v>0</v>
      </c>
      <c r="AD30" s="758"/>
      <c r="AE30" s="758"/>
      <c r="AF30" s="393" t="s">
        <v>2184</v>
      </c>
      <c r="AG30" s="756"/>
      <c r="AH30" s="756"/>
      <c r="AI30" s="756"/>
      <c r="AJ30" s="756"/>
      <c r="AK30" s="172"/>
      <c r="AL30" s="417">
        <f>AC30*AP30*(1-$I$15/100)</f>
        <v>0</v>
      </c>
      <c r="AM30" s="413" t="str">
        <f>VLOOKUP('Translate&amp;Prices&amp;Logo'!$D$1,kombinace_1!$EV$1:$EW$6,2,0)</f>
        <v>€</v>
      </c>
      <c r="AP30" s="452">
        <f>IF('Translate&amp;Prices&amp;Logo'!$D$1=1,AQ30,
IF(OR('Translate&amp;Prices&amp;Logo'!$D$1=2,'Translate&amp;Prices&amp;Logo'!$D$1=5,'Translate&amp;Prices&amp;Logo'!$D$1=6),AR30,
IF('Translate&amp;Prices&amp;Logo'!$D$1=3,AS30,AT30)))</f>
        <v>5.4532600000000002</v>
      </c>
      <c r="AQ30" s="453">
        <v>142.92941999999999</v>
      </c>
      <c r="AR30" s="454">
        <v>5.4532600000000002</v>
      </c>
      <c r="AS30" s="454">
        <v>27.304449999999999</v>
      </c>
      <c r="AT30" s="454">
        <v>2631.0918900000001</v>
      </c>
      <c r="AU30" s="39">
        <v>87315</v>
      </c>
      <c r="AZ30" s="1"/>
      <c r="BA30" s="1"/>
      <c r="BB30" s="751"/>
      <c r="BC30" s="68"/>
      <c r="BD30" s="68"/>
      <c r="BE30" s="456"/>
      <c r="BF30" s="456" t="str">
        <f>IF(OR(BC29=2,BD29=2,BE29=2,),"smont","demont")</f>
        <v>demont</v>
      </c>
      <c r="BG30" s="1"/>
      <c r="BH30" s="1">
        <f>IF(BH29=6,BM28,HLOOKUP(BH29,BH27:BL28,2,0))</f>
        <v>39.799999999999997</v>
      </c>
      <c r="BI30" s="1"/>
      <c r="BJ30" s="1"/>
      <c r="BK30" s="1"/>
      <c r="BL30" s="1"/>
      <c r="BM30" s="1"/>
    </row>
    <row r="31" spans="1:65" ht="14.85" customHeight="1">
      <c r="B31" s="102"/>
      <c r="C31" s="102"/>
      <c r="D31" s="445"/>
      <c r="E31" s="391"/>
      <c r="F31" s="158"/>
      <c r="G31" s="392"/>
      <c r="H31" s="158"/>
      <c r="I31" s="391"/>
      <c r="J31" s="158"/>
      <c r="K31" s="392"/>
      <c r="L31" s="158"/>
      <c r="M31" s="391"/>
      <c r="N31" s="158"/>
      <c r="O31" s="392"/>
      <c r="S31" s="203"/>
      <c r="T31" s="203"/>
      <c r="U31" s="203"/>
      <c r="V31" s="203"/>
      <c r="W31" s="203"/>
      <c r="X31" s="203"/>
      <c r="Y31" s="203"/>
      <c r="Z31" s="203"/>
      <c r="AA31" s="203"/>
      <c r="AC31" s="158"/>
      <c r="AD31" s="158">
        <v>0</v>
      </c>
      <c r="AE31" s="158"/>
      <c r="AF31" s="158"/>
      <c r="AG31" s="158"/>
      <c r="AH31" s="158"/>
      <c r="AI31" s="158"/>
      <c r="AJ31" s="158"/>
      <c r="AK31" s="159">
        <f>SUM(AC45,AE45)</f>
        <v>0</v>
      </c>
      <c r="AP31" s="455"/>
      <c r="AU31" s="39"/>
      <c r="AY31" s="1"/>
      <c r="AZ31" s="1"/>
      <c r="BA31" s="1"/>
      <c r="BB31" s="1"/>
      <c r="BC31" s="1"/>
      <c r="BD31" s="1"/>
      <c r="BE31" s="81"/>
      <c r="BF31" s="81"/>
      <c r="BG31" s="1"/>
      <c r="BH31" s="1"/>
      <c r="BI31" s="1"/>
      <c r="BJ31" s="1"/>
      <c r="BK31" s="1"/>
      <c r="BL31" s="1"/>
      <c r="BM31" s="1"/>
    </row>
    <row r="32" spans="1:65" ht="14.85" customHeight="1">
      <c r="B32" s="707" t="str">
        <f>'Translate&amp;Prices&amp;Logo'!$B$177</f>
        <v>Notes</v>
      </c>
      <c r="C32" s="707"/>
      <c r="D32" s="446"/>
      <c r="E32" s="770"/>
      <c r="F32" s="522"/>
      <c r="G32" s="771"/>
      <c r="H32" s="444"/>
      <c r="I32" s="770"/>
      <c r="J32" s="522"/>
      <c r="K32" s="771"/>
      <c r="L32" s="444"/>
      <c r="M32" s="770"/>
      <c r="N32" s="522"/>
      <c r="O32" s="771"/>
      <c r="S32" s="757" t="str">
        <f>'Translate&amp;Prices&amp;Logo'!$B$323</f>
        <v>Top guide profile length 3 m (87312)</v>
      </c>
      <c r="T32" s="757"/>
      <c r="U32" s="757"/>
      <c r="V32" s="757"/>
      <c r="W32" s="757"/>
      <c r="X32" s="757"/>
      <c r="Y32" s="757"/>
      <c r="Z32" s="757"/>
      <c r="AA32" s="757"/>
      <c r="AB32" s="172"/>
      <c r="AC32" s="758">
        <f>IF(AG32&gt;0,AG32,AK33)</f>
        <v>0</v>
      </c>
      <c r="AD32" s="758"/>
      <c r="AE32" s="758"/>
      <c r="AF32" s="393" t="s">
        <v>2184</v>
      </c>
      <c r="AG32" s="756"/>
      <c r="AH32" s="756"/>
      <c r="AI32" s="756"/>
      <c r="AJ32" s="756"/>
      <c r="AK32" s="172"/>
      <c r="AL32" s="417">
        <f>AC32*AP32*(1-$I$15/100)</f>
        <v>0</v>
      </c>
      <c r="AM32" s="413" t="str">
        <f>VLOOKUP('Translate&amp;Prices&amp;Logo'!$D$1,kombinace_1!$EV$1:$EW$6,2,0)</f>
        <v>€</v>
      </c>
      <c r="AP32" s="452">
        <f>IF('Translate&amp;Prices&amp;Logo'!$D$1=1,AQ32,
IF(OR('Translate&amp;Prices&amp;Logo'!$D$1=2,'Translate&amp;Prices&amp;Logo'!$D$1=5,'Translate&amp;Prices&amp;Logo'!$D$1=6),AR32,
IF('Translate&amp;Prices&amp;Logo'!$D$1=3,AS32,AT32)))</f>
        <v>25.920940000000002</v>
      </c>
      <c r="AQ32" s="453">
        <v>419.32799999999997</v>
      </c>
      <c r="AR32" s="454">
        <v>25.920940000000002</v>
      </c>
      <c r="AS32" s="454">
        <v>139.24695</v>
      </c>
      <c r="AT32" s="454">
        <v>5072.51613</v>
      </c>
      <c r="AU32" s="39">
        <v>87312</v>
      </c>
      <c r="AY32" s="1"/>
      <c r="AZ32" s="1"/>
      <c r="BA32" s="1"/>
      <c r="BB32" s="1"/>
      <c r="BC32" s="1"/>
      <c r="BD32" s="1"/>
      <c r="BE32" s="81"/>
      <c r="BF32" s="81">
        <f>E30+I30+M30</f>
        <v>0</v>
      </c>
      <c r="BG32" s="1"/>
      <c r="BH32" s="1"/>
      <c r="BI32" s="1"/>
      <c r="BJ32" s="1"/>
      <c r="BK32" s="1"/>
      <c r="BL32" s="1"/>
      <c r="BM32" s="1"/>
    </row>
    <row r="33" spans="2:65" ht="14.85" customHeight="1">
      <c r="B33" s="102"/>
      <c r="C33" s="102"/>
      <c r="D33" s="445"/>
      <c r="E33" s="772"/>
      <c r="F33" s="756"/>
      <c r="G33" s="773"/>
      <c r="H33" s="158"/>
      <c r="I33" s="772"/>
      <c r="J33" s="756"/>
      <c r="K33" s="773"/>
      <c r="L33" s="158"/>
      <c r="M33" s="772"/>
      <c r="N33" s="756"/>
      <c r="O33" s="773"/>
      <c r="S33" s="203"/>
      <c r="T33" s="203"/>
      <c r="U33" s="203"/>
      <c r="V33" s="203"/>
      <c r="W33" s="203"/>
      <c r="X33" s="203"/>
      <c r="Y33" s="203"/>
      <c r="Z33" s="203"/>
      <c r="AA33" s="203"/>
      <c r="AC33" s="158"/>
      <c r="AD33" s="158"/>
      <c r="AE33" s="158"/>
      <c r="AF33" s="158"/>
      <c r="AG33" s="158"/>
      <c r="AH33" s="158"/>
      <c r="AI33" s="158"/>
      <c r="AJ33" s="158"/>
      <c r="AK33" s="159">
        <f>SUM(AD45,AF45)</f>
        <v>0</v>
      </c>
      <c r="AQ33" s="451"/>
      <c r="AR33" s="451"/>
      <c r="AS33" s="451"/>
      <c r="AT33" s="451"/>
      <c r="AU33" s="39"/>
      <c r="AY33" s="1"/>
      <c r="AZ33" s="1"/>
      <c r="BA33" s="1"/>
      <c r="BC33" s="1"/>
      <c r="BD33" s="1"/>
      <c r="BE33" s="81"/>
      <c r="BF33" s="1" t="str">
        <f>IF(ISEVEN(BF32), "Sudé", "Liché")</f>
        <v>Sudé</v>
      </c>
      <c r="BG33" s="1"/>
      <c r="BH33" s="1" t="s">
        <v>4654</v>
      </c>
      <c r="BI33" s="1"/>
      <c r="BJ33" s="1"/>
      <c r="BK33" s="1"/>
      <c r="BL33" s="1"/>
      <c r="BM33" s="1"/>
    </row>
    <row r="34" spans="2:65" ht="14.85" customHeight="1">
      <c r="B34" s="102"/>
      <c r="C34" s="102"/>
      <c r="D34" s="445"/>
      <c r="E34" s="391"/>
      <c r="F34" s="158"/>
      <c r="G34" s="392"/>
      <c r="H34" s="158"/>
      <c r="I34" s="391"/>
      <c r="J34" s="158"/>
      <c r="K34" s="392"/>
      <c r="L34" s="158"/>
      <c r="M34" s="391"/>
      <c r="N34" s="158"/>
      <c r="O34" s="392"/>
      <c r="S34" s="757" t="str">
        <f>'Translate&amp;Prices&amp;Logo'!$B$324</f>
        <v>Bottom guide profile, length 3 m (87314)</v>
      </c>
      <c r="T34" s="757"/>
      <c r="U34" s="757"/>
      <c r="V34" s="757"/>
      <c r="W34" s="757"/>
      <c r="X34" s="757"/>
      <c r="Y34" s="757"/>
      <c r="Z34" s="757"/>
      <c r="AA34" s="757"/>
      <c r="AB34" s="172"/>
      <c r="AC34" s="758">
        <f>IF(AG34&gt;0,AG34,AK35)</f>
        <v>0</v>
      </c>
      <c r="AD34" s="758"/>
      <c r="AE34" s="758"/>
      <c r="AF34" s="393" t="s">
        <v>2184</v>
      </c>
      <c r="AG34" s="756"/>
      <c r="AH34" s="756"/>
      <c r="AI34" s="756"/>
      <c r="AJ34" s="756"/>
      <c r="AK34" s="172"/>
      <c r="AL34" s="417">
        <f>AC34*AP34*(1-$I$15/100)</f>
        <v>0</v>
      </c>
      <c r="AM34" s="413" t="str">
        <f>VLOOKUP('Translate&amp;Prices&amp;Logo'!$D$1,kombinace_1!$EV$1:$EW$6,2,0)</f>
        <v>€</v>
      </c>
      <c r="AP34" s="452">
        <f>IF('Translate&amp;Prices&amp;Logo'!$D$1=1,AQ34,
IF(OR('Translate&amp;Prices&amp;Logo'!$D$1=2,'Translate&amp;Prices&amp;Logo'!$D$1=5,'Translate&amp;Prices&amp;Logo'!$D$1=6),AR34,
IF('Translate&amp;Prices&amp;Logo'!$D$1=3,AS34,AT34)))</f>
        <v>8.1798099999999998</v>
      </c>
      <c r="AQ34" s="453">
        <v>214.39205000000001</v>
      </c>
      <c r="AR34" s="454">
        <v>8.1798099999999998</v>
      </c>
      <c r="AS34" s="454">
        <v>40.95628</v>
      </c>
      <c r="AT34" s="454">
        <v>3946.5994300000002</v>
      </c>
      <c r="AU34" s="39">
        <v>87314</v>
      </c>
      <c r="AY34" s="1"/>
      <c r="AZ34" s="1"/>
      <c r="BA34" s="1"/>
      <c r="BB34" s="1"/>
      <c r="BC34" s="1"/>
      <c r="BD34" s="1"/>
      <c r="BE34" s="81"/>
      <c r="BF34" s="81">
        <f>IF(AND(BF30="smont",BH29&gt;3),1,BF32)</f>
        <v>0</v>
      </c>
      <c r="BG34" s="1"/>
      <c r="BH34" s="68" t="s">
        <v>4655</v>
      </c>
      <c r="BI34" s="68" t="s">
        <v>4656</v>
      </c>
      <c r="BJ34" s="68" t="s">
        <v>4657</v>
      </c>
      <c r="BK34" s="68" t="s">
        <v>4658</v>
      </c>
      <c r="BL34" s="68" t="s">
        <v>4652</v>
      </c>
      <c r="BM34" s="1"/>
    </row>
    <row r="35" spans="2:65" ht="14.85" customHeight="1">
      <c r="B35" s="707" t="str">
        <f>'Translate&amp;Prices&amp;Logo'!$B$172</f>
        <v>Type of profile</v>
      </c>
      <c r="C35" s="707"/>
      <c r="D35" s="446"/>
      <c r="E35" s="753"/>
      <c r="F35" s="754"/>
      <c r="G35" s="755"/>
      <c r="H35" s="444"/>
      <c r="I35" s="753"/>
      <c r="J35" s="754"/>
      <c r="K35" s="755"/>
      <c r="L35" s="444"/>
      <c r="M35" s="753"/>
      <c r="N35" s="754"/>
      <c r="O35" s="755"/>
      <c r="AD35" s="1"/>
      <c r="AE35" s="1"/>
      <c r="AK35" s="159">
        <f>SUM(AD45,AF45)</f>
        <v>0</v>
      </c>
      <c r="AQ35" s="451"/>
      <c r="AR35" s="451"/>
      <c r="AS35" s="451"/>
      <c r="AT35" s="451"/>
      <c r="AY35" s="1"/>
      <c r="AZ35" s="1"/>
      <c r="BA35" s="1"/>
      <c r="BB35" s="1"/>
      <c r="BC35" s="1"/>
      <c r="BD35" s="1"/>
      <c r="BE35" s="81"/>
      <c r="BF35" s="81"/>
      <c r="BG35" s="1"/>
      <c r="BH35" s="68">
        <v>0</v>
      </c>
      <c r="BI35" s="68">
        <v>1001</v>
      </c>
      <c r="BJ35" s="68">
        <v>1501</v>
      </c>
      <c r="BK35" s="68">
        <v>2001</v>
      </c>
      <c r="BL35" s="68">
        <v>2500</v>
      </c>
      <c r="BM35" s="1"/>
    </row>
    <row r="36" spans="2:65" ht="28.9" customHeight="1">
      <c r="B36" s="102"/>
      <c r="C36" s="102"/>
      <c r="D36" s="445"/>
      <c r="E36" s="753"/>
      <c r="F36" s="754"/>
      <c r="G36" s="755"/>
      <c r="H36" s="158"/>
      <c r="I36" s="753"/>
      <c r="J36" s="754"/>
      <c r="K36" s="755"/>
      <c r="L36" s="158"/>
      <c r="M36" s="753"/>
      <c r="N36" s="754"/>
      <c r="O36" s="755"/>
      <c r="AD36" s="1"/>
      <c r="AE36" s="1"/>
      <c r="AK36" s="159"/>
      <c r="AY36" s="1"/>
      <c r="AZ36" s="1"/>
      <c r="BA36" s="1"/>
      <c r="BB36" s="1"/>
      <c r="BC36" s="1"/>
      <c r="BD36" s="1"/>
      <c r="BE36" s="81"/>
      <c r="BF36" s="81">
        <f>IF(BF34=1,BF29,IF(BF33="Liché",(BF34+1)*BF29/2,IF(BF33="Sudé",BF34*BF29/2)))</f>
        <v>0</v>
      </c>
      <c r="BG36" s="1"/>
      <c r="BH36" s="68">
        <v>1</v>
      </c>
      <c r="BI36" s="68">
        <v>2</v>
      </c>
      <c r="BJ36" s="68">
        <v>3</v>
      </c>
      <c r="BK36" s="68">
        <v>4</v>
      </c>
      <c r="BL36" s="68">
        <v>5</v>
      </c>
      <c r="BM36" s="1"/>
    </row>
    <row r="37" spans="2:65" ht="14.85" customHeight="1">
      <c r="B37" s="102"/>
      <c r="C37" s="102"/>
      <c r="D37" s="445"/>
      <c r="E37" s="753"/>
      <c r="F37" s="754"/>
      <c r="G37" s="755"/>
      <c r="H37" s="158"/>
      <c r="I37" s="753"/>
      <c r="J37" s="754"/>
      <c r="K37" s="755"/>
      <c r="L37" s="158"/>
      <c r="M37" s="753"/>
      <c r="N37" s="754"/>
      <c r="O37" s="755"/>
      <c r="S37" s="768" t="str">
        <f>IF(AND(Hlavní!V39=3,I17="Dostawa na adres"),"Koszt transportu","")</f>
        <v/>
      </c>
      <c r="T37" s="768"/>
      <c r="U37" s="768"/>
      <c r="V37" s="768"/>
      <c r="W37" s="159"/>
      <c r="X37" s="762" t="str">
        <f>IF(AND(Hlavní!V39=3,I17="Dostawa na adres"),BF36,"")</f>
        <v/>
      </c>
      <c r="Y37" s="762"/>
      <c r="Z37" s="762"/>
      <c r="AA37" s="457" t="str">
        <f>VLOOKUP('Translate&amp;Prices&amp;Logo'!$D$1,kombinace_1!$EV$1:$EW$5,2,0)</f>
        <v>€</v>
      </c>
      <c r="AC37" s="414" t="str">
        <f>'Translate&amp;Prices&amp;Logo'!$B$693</f>
        <v>Total price of fittings</v>
      </c>
      <c r="AD37" s="414"/>
      <c r="AE37" s="414"/>
      <c r="AF37" s="414"/>
      <c r="AG37" s="414"/>
      <c r="AH37" s="414"/>
      <c r="AI37" s="414"/>
      <c r="AJ37" s="414"/>
      <c r="AK37" s="172"/>
      <c r="AL37" s="417">
        <f>SUM(AL24,AL26,AL28,AL30,AL32,AL34)</f>
        <v>0</v>
      </c>
      <c r="AM37" s="413" t="str">
        <f>VLOOKUP('Translate&amp;Prices&amp;Logo'!$D$1,kombinace_1!$EV$1:$EW$6,2,0)</f>
        <v>€</v>
      </c>
      <c r="AY37" s="1"/>
      <c r="AZ37" s="1"/>
      <c r="BA37" s="1"/>
      <c r="BB37" s="1"/>
      <c r="BC37" s="1"/>
      <c r="BD37" s="1"/>
      <c r="BE37" s="81"/>
      <c r="BF37" s="81"/>
      <c r="BG37" s="1"/>
      <c r="BH37" s="68">
        <v>35.35</v>
      </c>
      <c r="BI37" s="68">
        <v>49.7</v>
      </c>
      <c r="BJ37" s="68">
        <v>61.2</v>
      </c>
      <c r="BK37" s="68">
        <v>95.55</v>
      </c>
      <c r="BL37" s="68">
        <v>145.55000000000001</v>
      </c>
      <c r="BM37" s="1"/>
    </row>
    <row r="38" spans="2:65" ht="14.85" customHeight="1">
      <c r="B38" s="102"/>
      <c r="C38" s="102"/>
      <c r="D38" s="445"/>
      <c r="E38" s="391"/>
      <c r="F38" s="158"/>
      <c r="G38" s="392"/>
      <c r="H38" s="158"/>
      <c r="I38" s="391"/>
      <c r="J38" s="158"/>
      <c r="K38" s="392"/>
      <c r="L38" s="158"/>
      <c r="M38" s="391"/>
      <c r="N38" s="158"/>
      <c r="O38" s="392"/>
      <c r="AD38" s="1"/>
      <c r="AY38" s="1"/>
      <c r="AZ38" s="1"/>
      <c r="BA38" s="1"/>
      <c r="BB38" s="1"/>
      <c r="BC38" s="1"/>
      <c r="BD38" s="1"/>
      <c r="BE38" s="81"/>
      <c r="BF38" s="81"/>
      <c r="BG38" s="1"/>
      <c r="BH38" s="1">
        <f>MATCH(BF26,BH35:BL35,1)</f>
        <v>1</v>
      </c>
      <c r="BI38" s="1"/>
      <c r="BJ38" s="1"/>
      <c r="BK38" s="1"/>
      <c r="BL38" s="1"/>
      <c r="BM38" s="1"/>
    </row>
    <row r="39" spans="2:65" ht="14.85" customHeight="1">
      <c r="B39" s="707" t="str">
        <f>'Translate&amp;Prices&amp;Logo'!$B$625</f>
        <v>Type of glass/mesh</v>
      </c>
      <c r="C39" s="707"/>
      <c r="D39" s="446"/>
      <c r="E39" s="753"/>
      <c r="F39" s="754"/>
      <c r="G39" s="755"/>
      <c r="H39" s="444"/>
      <c r="I39" s="753"/>
      <c r="J39" s="754"/>
      <c r="K39" s="755"/>
      <c r="L39" s="444"/>
      <c r="M39" s="753"/>
      <c r="N39" s="754"/>
      <c r="O39" s="755"/>
      <c r="AC39" s="750" t="str">
        <f>'Translate&amp;Prices&amp;Logo'!$B$180</f>
        <v>Total order price</v>
      </c>
      <c r="AD39" s="750"/>
      <c r="AE39" s="750"/>
      <c r="AF39" s="750"/>
      <c r="AG39" s="750"/>
      <c r="AH39" s="750"/>
      <c r="AI39" s="750"/>
      <c r="AJ39" s="769"/>
      <c r="AK39" s="172"/>
      <c r="AL39" s="417">
        <f>IF(AQ13=TRUE,SUM(E48,I48,M48,AL37,X37),SUM(E48,I48,M48,X37))</f>
        <v>0</v>
      </c>
      <c r="AM39" s="421" t="str">
        <f>VLOOKUP('Translate&amp;Prices&amp;Logo'!D1,kombinace_1!$EV$1:$EW$6,2,0)</f>
        <v>€</v>
      </c>
      <c r="AY39" s="1"/>
      <c r="AZ39" s="1"/>
      <c r="BA39" s="1"/>
      <c r="BB39" s="1"/>
      <c r="BC39" s="1"/>
      <c r="BD39" s="1"/>
      <c r="BE39" s="81"/>
      <c r="BF39" s="81"/>
      <c r="BG39" s="1"/>
      <c r="BH39" s="1">
        <f>IF(BH38=5,BL37,HLOOKUP(BH38,BH36:BK37,2,0))</f>
        <v>35.35</v>
      </c>
      <c r="BI39" s="1"/>
      <c r="BJ39" s="1"/>
      <c r="BK39" s="1"/>
      <c r="BL39" s="1"/>
      <c r="BM39" s="1"/>
    </row>
    <row r="40" spans="2:65" ht="15.75" customHeight="1" thickBot="1">
      <c r="E40" s="765"/>
      <c r="F40" s="766"/>
      <c r="G40" s="767"/>
      <c r="H40" s="158"/>
      <c r="I40" s="765"/>
      <c r="J40" s="766"/>
      <c r="K40" s="767"/>
      <c r="L40" s="158"/>
      <c r="M40" s="765"/>
      <c r="N40" s="766"/>
      <c r="O40" s="767"/>
      <c r="AD40" s="187"/>
      <c r="AE40" s="1"/>
    </row>
    <row r="41" spans="2:65" ht="15.75" hidden="1" customHeight="1" thickBot="1">
      <c r="D41" s="160" t="s">
        <v>2183</v>
      </c>
      <c r="E41" s="160" t="e">
        <f>VLOOKUP(E35,kombinace_1!A:C,3,0)</f>
        <v>#N/A</v>
      </c>
      <c r="F41" s="160">
        <v>1</v>
      </c>
      <c r="G41" s="160" t="e">
        <f>CONCATENATE(D41,E41,F41)</f>
        <v>#N/A</v>
      </c>
      <c r="H41" s="160" t="s">
        <v>2183</v>
      </c>
      <c r="I41" s="160" t="e">
        <f>VLOOKUP(I35,kombinace_1!A:C,3,0)</f>
        <v>#N/A</v>
      </c>
      <c r="J41" s="160">
        <v>1</v>
      </c>
      <c r="K41" s="160" t="e">
        <f>CONCATENATE(H41,I41,J41)</f>
        <v>#N/A</v>
      </c>
      <c r="L41" s="160" t="s">
        <v>2183</v>
      </c>
      <c r="M41" s="160" t="e">
        <f>VLOOKUP(M35,kombinace_1!A:C,3,0)</f>
        <v>#N/A</v>
      </c>
      <c r="N41" s="160">
        <v>1</v>
      </c>
      <c r="O41" s="160" t="e">
        <f>CONCATENATE(L41,M41,N41)</f>
        <v>#N/A</v>
      </c>
      <c r="V41" s="160"/>
      <c r="W41" s="160"/>
      <c r="AB41" s="160"/>
      <c r="AC41" s="188" t="s">
        <v>803</v>
      </c>
      <c r="AD41" s="188" t="s">
        <v>804</v>
      </c>
      <c r="AE41" s="188" t="s">
        <v>805</v>
      </c>
      <c r="AF41" s="188" t="s">
        <v>4684</v>
      </c>
      <c r="AG41" s="160" t="s">
        <v>4685</v>
      </c>
      <c r="AH41" s="160"/>
    </row>
    <row r="42" spans="2:65" ht="15.75" hidden="1" customHeight="1" thickBot="1">
      <c r="C42" s="189" t="s">
        <v>800</v>
      </c>
      <c r="D42" s="190"/>
      <c r="E42" s="191">
        <f>VLOOKUP(E35,kombinace_posuv!$A:$B,2,0)</f>
        <v>2</v>
      </c>
      <c r="F42" s="191"/>
      <c r="G42" s="191"/>
      <c r="H42" s="160"/>
      <c r="I42" s="191">
        <f>VLOOKUP(I35,kombinace_posuv!$A:$B,2,0)</f>
        <v>2</v>
      </c>
      <c r="J42" s="191"/>
      <c r="K42" s="191"/>
      <c r="L42" s="160"/>
      <c r="M42" s="191">
        <f>VLOOKUP(M35,kombinace_posuv!$A:$B,2,0)</f>
        <v>2</v>
      </c>
      <c r="N42" s="191"/>
      <c r="O42" s="192"/>
      <c r="V42" s="160"/>
      <c r="W42" s="160"/>
      <c r="Z42" s="759" t="str">
        <f>"1."&amp;" "&amp;'Translate&amp;Prices&amp;Logo'!$B$169</f>
        <v>1. Frame</v>
      </c>
      <c r="AA42" s="760"/>
      <c r="AB42" s="761"/>
      <c r="AC42" s="160">
        <f>IF(E28=0,0,IF((E28*2)&lt;=2000,1,0))</f>
        <v>0</v>
      </c>
      <c r="AD42" s="160">
        <f>IF(E28=0,0,IF((E28*2)&lt;=2000,0,IF((E28*2)&gt;2000,IF((E28*2)&lt;=3000,1,0))))</f>
        <v>0</v>
      </c>
      <c r="AE42" s="160">
        <f>2*(IF(E28=0,0,IF(E28&lt;1501,0,IF(E28&gt;2000,0,IF(E28&lt;=2000,1,0)))))</f>
        <v>0</v>
      </c>
      <c r="AF42" s="160">
        <f>2*(IF(E28=0,0,IF(E28&lt;2001,0,IF(E28&gt;3000,0,IF(E28&lt;=3000,1,0)))))</f>
        <v>0</v>
      </c>
      <c r="AG42" s="160" t="e">
        <f>VLOOKUP(E35,U57:AJ112,16,0)</f>
        <v>#N/A</v>
      </c>
      <c r="AH42" s="160"/>
    </row>
    <row r="43" spans="2:65" ht="15.75" hidden="1" customHeight="1" thickBot="1">
      <c r="C43" s="1" t="s">
        <v>2185</v>
      </c>
      <c r="E43" s="1">
        <f>IF(E42=2,E30,0)</f>
        <v>0</v>
      </c>
      <c r="I43" s="1">
        <f>IFERROR(IF(I42=2,I30,0),0)</f>
        <v>0</v>
      </c>
      <c r="M43" s="1">
        <f>IFERROR(IF(M42=2,M30,0),0)</f>
        <v>0</v>
      </c>
      <c r="O43" s="30">
        <f>SUM(E43,I43,M43)</f>
        <v>0</v>
      </c>
      <c r="V43" s="160"/>
      <c r="W43" s="160"/>
      <c r="X43" s="160"/>
      <c r="Y43" s="160"/>
      <c r="Z43" s="759" t="str">
        <f>"2."&amp;" "&amp;'Translate&amp;Prices&amp;Logo'!$B$169</f>
        <v>2. Frame</v>
      </c>
      <c r="AA43" s="760"/>
      <c r="AB43" s="761"/>
      <c r="AC43" s="160">
        <f>IF(I28=0,0,IF((I28*2)&lt;=2000,1,0))</f>
        <v>0</v>
      </c>
      <c r="AD43" s="160">
        <f>IF(I28=0,0,IF((I28*2)&lt;=2000,0,IF((I28*2)&gt;2000,IF((I28*2)&lt;=3000,1,0))))</f>
        <v>0</v>
      </c>
      <c r="AE43" s="160">
        <f>2*(IF(I28=0,0,IF(I28&lt;1501,0,IF(I28&gt;2000,0,IF(I28&lt;=2000,1,0)))))</f>
        <v>0</v>
      </c>
      <c r="AF43" s="160">
        <f>2*(IF(I28=0,0,IF(I28&lt;2001,0,IF(I28&gt;3000,0,IF(I28&lt;=3000,1,0)))))</f>
        <v>0</v>
      </c>
      <c r="AG43" s="160" t="e">
        <f>VLOOKUP(I35,U57:AJ112,16,0)</f>
        <v>#N/A</v>
      </c>
      <c r="AH43" s="160"/>
    </row>
    <row r="44" spans="2:65" ht="15.75" hidden="1" customHeight="1" thickBot="1">
      <c r="C44" s="1" t="s">
        <v>2186</v>
      </c>
      <c r="E44" s="1">
        <f>IF(E42=1,E30,0)</f>
        <v>0</v>
      </c>
      <c r="I44" s="1">
        <f>IFERROR(IF(I42=1,I30,0),0)</f>
        <v>0</v>
      </c>
      <c r="M44" s="1">
        <f>IFERROR(IF(M42=1,M30,0),0)</f>
        <v>0</v>
      </c>
      <c r="O44" s="31">
        <f>SUM(E44,I44,M44)</f>
        <v>0</v>
      </c>
      <c r="W44" s="160"/>
      <c r="X44" s="160"/>
      <c r="Y44" s="160"/>
      <c r="Z44" s="759" t="str">
        <f>"3."&amp;" "&amp;'Translate&amp;Prices&amp;Logo'!$B$169</f>
        <v>3. Frame</v>
      </c>
      <c r="AA44" s="760"/>
      <c r="AB44" s="761"/>
      <c r="AC44" s="160">
        <f>IF(M28=0,0,IF((M28*2)&lt;=2000,1,0))</f>
        <v>0</v>
      </c>
      <c r="AD44" s="160">
        <f>IF(M28=0,0,IF((M28*2)&lt;=2000,0,IF((M28*2)&gt;2000,IF((M28*2)&lt;=3000,1,0))))</f>
        <v>0</v>
      </c>
      <c r="AE44" s="160">
        <f>2*(IF(M28=0,0,IF(M28&lt;1501,0,IF(M28&gt;2000,0,IF(M28&lt;=2000,1,0)))))</f>
        <v>0</v>
      </c>
      <c r="AF44" s="160">
        <f>2*(IF(M28=0,0,IF(M28&lt;2001,0,IF(M28&gt;3000,0,IF(M28&lt;=3000,1,0)))))</f>
        <v>0</v>
      </c>
      <c r="AG44" s="160" t="e">
        <f>VLOOKUP(M35,U57:AJ112,16,0)</f>
        <v>#N/A</v>
      </c>
      <c r="AH44" s="160"/>
    </row>
    <row r="45" spans="2:65" ht="15.75" hidden="1" customHeight="1">
      <c r="W45" s="160"/>
      <c r="X45" s="160"/>
      <c r="Y45" s="160"/>
      <c r="Z45" s="160"/>
      <c r="AA45" s="160"/>
      <c r="AB45" s="160"/>
      <c r="AC45" s="160">
        <f>SUM(AC42:AC44)</f>
        <v>0</v>
      </c>
      <c r="AD45" s="160">
        <f>SUM(AD42:AD44)</f>
        <v>0</v>
      </c>
      <c r="AE45" s="160">
        <f>SUM(AE42:AE44)</f>
        <v>0</v>
      </c>
      <c r="AF45" s="160">
        <f>SUM(AF42:AF44)</f>
        <v>0</v>
      </c>
      <c r="AG45" s="160"/>
      <c r="AH45" s="160"/>
    </row>
    <row r="46" spans="2:65" ht="15.75" customHeight="1">
      <c r="W46" s="160"/>
      <c r="X46" s="160"/>
      <c r="Y46" s="160"/>
      <c r="Z46" s="160"/>
      <c r="AA46" s="160"/>
      <c r="AB46" s="160"/>
      <c r="AC46" s="160"/>
      <c r="AD46" s="160"/>
      <c r="AE46" s="160"/>
      <c r="AF46" s="160"/>
      <c r="AG46" s="160"/>
      <c r="AH46" s="160"/>
    </row>
    <row r="47" spans="2:65" ht="14.85" customHeight="1" thickBot="1"/>
    <row r="48" spans="2:65" ht="14.85" customHeight="1" thickBot="1">
      <c r="B48" s="750" t="str">
        <f>'Translate&amp;Prices&amp;Logo'!$B$178</f>
        <v>Total price of frames</v>
      </c>
      <c r="C48" s="750"/>
      <c r="D48" s="446"/>
      <c r="E48" s="763">
        <f>SUM(E55:E56)*(1-(I15/100))</f>
        <v>0</v>
      </c>
      <c r="F48" s="764"/>
      <c r="G48" s="420" t="str">
        <f>VLOOKUP('Translate&amp;Prices&amp;Logo'!D1,kombinace_1!$EV$1:$EW$6,2,0)</f>
        <v>€</v>
      </c>
      <c r="H48" s="444"/>
      <c r="I48" s="763">
        <f>SUM(I55:I56)*(1-(I15/100))</f>
        <v>0</v>
      </c>
      <c r="J48" s="764"/>
      <c r="K48" s="420" t="str">
        <f>VLOOKUP('Translate&amp;Prices&amp;Logo'!D1,kombinace_1!$EV$1:$EW$6,2,0)</f>
        <v>€</v>
      </c>
      <c r="L48" s="444"/>
      <c r="M48" s="763">
        <f>SUM(M55:M56)*(1-(I15/100))</f>
        <v>0</v>
      </c>
      <c r="N48" s="764"/>
      <c r="O48" s="420" t="str">
        <f>VLOOKUP('Translate&amp;Prices&amp;Logo'!D1,kombinace_1!$EV$1:$EW$6,2,0)</f>
        <v>€</v>
      </c>
    </row>
    <row r="49" spans="3:39" ht="14.85" customHeight="1">
      <c r="O49" s="197"/>
      <c r="P49" s="197"/>
      <c r="Q49" s="197"/>
      <c r="R49" s="197"/>
      <c r="S49" s="197"/>
      <c r="T49" s="197"/>
      <c r="U49" s="197"/>
      <c r="V49" s="198"/>
    </row>
    <row r="50" spans="3:39" ht="14.85" customHeight="1">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c r="AM50" s="410" t="str">
        <f>'Translate&amp;Prices&amp;Logo'!$B$320</f>
        <v>By default, the frames are ready for the sliding fittings H27AL (25 kg load-capacity per frame) and H37AL (35 kg load-capacity per frame).</v>
      </c>
    </row>
    <row r="51" spans="3:39" ht="14.85" customHeight="1">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c r="AM51" s="410" t="str">
        <f>'Translate&amp;Prices&amp;Logo'!$B$319</f>
        <v>The height of the frame = internal height of the corpus - 6 mm.</v>
      </c>
    </row>
    <row r="52" spans="3:39" ht="14.85" customHeight="1">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c r="AM52" s="410" t="str">
        <f>'Translate&amp;Prices&amp;Logo'!$B$330</f>
        <v>The price for sliding frames is the same as the price for regular frames.</v>
      </c>
    </row>
    <row r="53" spans="3:39" ht="14.85" customHeight="1"/>
    <row r="55" spans="3:39" ht="14.85" hidden="1" customHeight="1">
      <c r="C55" s="1" t="s">
        <v>4326</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row>
    <row r="56" spans="3:39" ht="14.85" hidden="1" customHeight="1">
      <c r="C56" s="1" t="s">
        <v>4327</v>
      </c>
      <c r="E56" s="1">
        <f>IFERROR(((VLOOKUP(E39,'Translate&amp;Prices&amp;Logo'!B99:D167,2,0))*((E28/1000)*(E26/1000)))*E30,0)</f>
        <v>0</v>
      </c>
      <c r="I56" s="1">
        <f>IFERROR(((VLOOKUP(I39,'Translate&amp;Prices&amp;Logo'!B99:D167,2,0))*((I28/1000)*(I26/1000)))*I30,0)</f>
        <v>0</v>
      </c>
      <c r="M56" s="1">
        <f>IFERROR(((VLOOKUP(M39,'Translate&amp;Prices&amp;Logo'!B99:D167,2,0))*((M28/1000)*(M26/1000)))*M30,0)</f>
        <v>0</v>
      </c>
    </row>
    <row r="57" spans="3:39" ht="14.85" hidden="1" customHeight="1">
      <c r="E57" s="168" t="e">
        <f t="array" aca="1" ref="E57:E100" ca="1">IF(OR(E35=kombinace_1!A17,E35=kombinace_1!A18,E35=kombinace_1!A20,E35=kombinace_1!A25,E35=kombinace_1!A26,E35=kombinace_1!A27,E35=kombinace_1!A28),_corleone,INDIRECT($G$41))</f>
        <v>#N/A</v>
      </c>
      <c r="I57" s="1" t="e">
        <f t="array" aca="1" ref="I57:I100" ca="1">IF(OR(I35=kombinace_1!A17,I35=kombinace_1!A18,I35=kombinace_1!A20,I35=kombinace_1!A25,I35=kombinace_1!A26,I35=kombinace_1!A27,I35=kombinace_1!A28),_corleone,INDIRECT($K$41))</f>
        <v>#N/A</v>
      </c>
      <c r="M57" s="1" t="e">
        <f t="array" aca="1" ref="M57:M100" ca="1">IF(OR(M35=kombinace_1!A17,M35=kombinace_1!A18,M35=kombinace_1!A20,M35=kombinace_1!A25,M35=kombinace_1!A26,M35=kombinace_1!A27,M35=kombinace_1!A28),_corleone,INDIRECT($O$41))</f>
        <v>#N/A</v>
      </c>
      <c r="U57" t="str">
        <f>'Translate&amp;Prices&amp;Logo'!$B$6</f>
        <v>BRW (elox.) - maximum profile length 2500 mm</v>
      </c>
      <c r="AJ57" s="1">
        <v>20</v>
      </c>
    </row>
    <row r="58" spans="3:39" ht="14.85" hidden="1" customHeight="1">
      <c r="E58" s="168" t="e">
        <f ca="1"/>
        <v>#N/A</v>
      </c>
      <c r="I58" s="1" t="e">
        <f ca="1"/>
        <v>#N/A</v>
      </c>
      <c r="M58" s="1" t="e">
        <f ca="1"/>
        <v>#N/A</v>
      </c>
      <c r="U58" t="str">
        <f>'Translate&amp;Prices&amp;Logo'!$B$8</f>
        <v>BRW white matt RAL 9003 - maximum profile length 2500 mm</v>
      </c>
      <c r="AJ58" s="1">
        <v>20</v>
      </c>
    </row>
    <row r="59" spans="3:39" ht="14.85" hidden="1" customHeight="1">
      <c r="E59" s="168" t="e">
        <f ca="1"/>
        <v>#N/A</v>
      </c>
      <c r="I59" s="1" t="e">
        <f ca="1"/>
        <v>#N/A</v>
      </c>
      <c r="M59" s="1" t="e">
        <f ca="1"/>
        <v>#N/A</v>
      </c>
      <c r="U59" t="str">
        <f>'Translate&amp;Prices&amp;Logo'!$B$9</f>
        <v>BRW white gloss RAL 9003 - maximum profile length 2500 mm</v>
      </c>
      <c r="AJ59" s="1">
        <v>20</v>
      </c>
    </row>
    <row r="60" spans="3:39" ht="14.85" hidden="1" customHeight="1">
      <c r="E60" s="168" t="e">
        <f ca="1"/>
        <v>#N/A</v>
      </c>
      <c r="I60" s="1" t="e">
        <f ca="1"/>
        <v>#N/A</v>
      </c>
      <c r="M60" s="1" t="e">
        <f ca="1"/>
        <v>#N/A</v>
      </c>
      <c r="U60" t="str">
        <f>'Translate&amp;Prices&amp;Logo'!$B$11</f>
        <v>BRW brushed - maximum profile length 2500 mm</v>
      </c>
      <c r="AJ60" s="1">
        <v>20</v>
      </c>
    </row>
    <row r="61" spans="3:39" ht="14.85" hidden="1" customHeight="1">
      <c r="E61" s="168" t="e">
        <f ca="1"/>
        <v>#N/A</v>
      </c>
      <c r="I61" s="1" t="e">
        <f ca="1"/>
        <v>#N/A</v>
      </c>
      <c r="M61" s="1" t="e">
        <f ca="1"/>
        <v>#N/A</v>
      </c>
      <c r="U61" t="str">
        <f>'Translate&amp;Prices&amp;Logo'!$B$12</f>
        <v>BRW black matt - maximum profile length 2500 mm</v>
      </c>
      <c r="AJ61" s="1">
        <v>20</v>
      </c>
    </row>
    <row r="62" spans="3:39" ht="14.85" hidden="1" customHeight="1">
      <c r="E62" s="168" t="e">
        <f ca="1"/>
        <v>#N/A</v>
      </c>
      <c r="I62" s="1" t="e">
        <f ca="1"/>
        <v>#N/A</v>
      </c>
      <c r="M62" s="1" t="e">
        <f ca="1"/>
        <v>#N/A</v>
      </c>
      <c r="U62" t="str">
        <f>'Translate&amp;Prices&amp;Logo'!$B$14</f>
        <v>BRW black brushed - maximum profile length 2500 mm</v>
      </c>
      <c r="AJ62" s="1">
        <v>20</v>
      </c>
    </row>
    <row r="63" spans="3:39" ht="14.85" hidden="1" customHeight="1">
      <c r="E63" s="168" t="e">
        <f ca="1"/>
        <v>#N/A</v>
      </c>
      <c r="I63" s="1" t="e">
        <f ca="1"/>
        <v>#N/A</v>
      </c>
      <c r="M63" s="1" t="e">
        <f ca="1"/>
        <v>#N/A</v>
      </c>
      <c r="U63" t="str">
        <f>'Translate&amp;Prices&amp;Logo'!$B$15</f>
        <v>BRW Light Stainless Steel (ACIER GRATA) - maximum profile length 2500 mm</v>
      </c>
      <c r="AJ63" s="1">
        <v>20</v>
      </c>
    </row>
    <row r="64" spans="3:39" ht="14.85" hidden="1" customHeight="1">
      <c r="E64" s="168" t="e">
        <f ca="1"/>
        <v>#N/A</v>
      </c>
      <c r="I64" s="1" t="e">
        <f ca="1"/>
        <v>#N/A</v>
      </c>
      <c r="M64" s="1" t="e">
        <f ca="1"/>
        <v>#N/A</v>
      </c>
      <c r="U64" t="str">
        <f>'Translate&amp;Prices&amp;Logo'!$B$7</f>
        <v>BRW anthracite RAL 7021 - maximum profile length 2500 mm</v>
      </c>
      <c r="AJ64" s="1">
        <v>20</v>
      </c>
    </row>
    <row r="65" spans="5:36" ht="14.85" hidden="1" customHeight="1">
      <c r="E65" s="168" t="e">
        <f ca="1"/>
        <v>#N/A</v>
      </c>
      <c r="I65" s="1" t="e">
        <f ca="1"/>
        <v>#N/A</v>
      </c>
      <c r="M65" s="1" t="e">
        <f ca="1"/>
        <v>#N/A</v>
      </c>
      <c r="U65" t="str">
        <f>'Translate&amp;Prices&amp;Logo'!$B$69</f>
        <v>BRW champagne - maximum profile length 2500 mm</v>
      </c>
      <c r="AJ65" s="1">
        <v>20</v>
      </c>
    </row>
    <row r="66" spans="5:36" ht="14.85" hidden="1" customHeight="1">
      <c r="E66" s="168" t="e">
        <f ca="1"/>
        <v>#N/A</v>
      </c>
      <c r="I66" s="1" t="e">
        <f ca="1"/>
        <v>#N/A</v>
      </c>
      <c r="M66" s="1" t="e">
        <f ca="1"/>
        <v>#N/A</v>
      </c>
      <c r="U66" t="str">
        <f>'Translate&amp;Prices&amp;Logo'!$B$70</f>
        <v>BRW champagne light - maximum profile length 2500 mm</v>
      </c>
      <c r="AJ66" s="1">
        <v>20</v>
      </c>
    </row>
    <row r="67" spans="5:36" ht="14.85" hidden="1" customHeight="1">
      <c r="E67" s="168" t="e">
        <f ca="1"/>
        <v>#N/A</v>
      </c>
      <c r="I67" s="1" t="e">
        <f ca="1"/>
        <v>#N/A</v>
      </c>
      <c r="M67" s="1" t="e">
        <f ca="1"/>
        <v>#N/A</v>
      </c>
      <c r="U67" t="str">
        <f>'Translate&amp;Prices&amp;Logo'!$B$10</f>
        <v>BRW brown - maximum profile length 2500 mm</v>
      </c>
      <c r="AJ67" s="1">
        <v>20</v>
      </c>
    </row>
    <row r="68" spans="5:36" ht="14.85" hidden="1" customHeight="1">
      <c r="E68" s="168" t="e">
        <f ca="1"/>
        <v>#N/A</v>
      </c>
      <c r="I68" s="1" t="e">
        <f ca="1"/>
        <v>#N/A</v>
      </c>
      <c r="M68" s="1" t="e">
        <f ca="1"/>
        <v>#N/A</v>
      </c>
      <c r="U68" t="str">
        <f>'Translate&amp;Prices&amp;Logo'!$B$16</f>
        <v>BRW dark stainless steel - maximum profile length 2500 mm</v>
      </c>
      <c r="AJ68" s="1">
        <v>20</v>
      </c>
    </row>
    <row r="69" spans="5:36" ht="14.85" hidden="1" customHeight="1">
      <c r="E69" s="168" t="e">
        <f ca="1"/>
        <v>#N/A</v>
      </c>
      <c r="I69" s="1" t="e">
        <f ca="1"/>
        <v>#N/A</v>
      </c>
      <c r="M69" s="1" t="e">
        <f ca="1"/>
        <v>#N/A</v>
      </c>
      <c r="U69" t="str">
        <f>'Translate&amp;Prices&amp;Logo'!$B$13</f>
        <v>BRW gold - maximum profile length 2500 mm</v>
      </c>
      <c r="AJ69" s="1">
        <v>20</v>
      </c>
    </row>
    <row r="70" spans="5:36" ht="14.85" hidden="1" customHeight="1">
      <c r="E70" s="168" t="e">
        <f ca="1"/>
        <v>#N/A</v>
      </c>
      <c r="I70" s="1" t="e">
        <f ca="1"/>
        <v>#N/A</v>
      </c>
      <c r="M70" s="1" t="e">
        <f ca="1"/>
        <v>#N/A</v>
      </c>
      <c r="U70" t="str">
        <f>'Translate&amp;Prices&amp;Logo'!$B$55</f>
        <v>BRW arany csiszolt - maximum profile length 2500 mm</v>
      </c>
      <c r="AJ70" s="1">
        <v>20</v>
      </c>
    </row>
    <row r="71" spans="5:36" ht="14.85" hidden="1" customHeight="1">
      <c r="E71" s="168" t="e">
        <f ca="1"/>
        <v>#N/A</v>
      </c>
      <c r="I71" s="1" t="e">
        <f ca="1"/>
        <v>#N/A</v>
      </c>
      <c r="M71" s="1" t="e">
        <f ca="1"/>
        <v>#N/A</v>
      </c>
      <c r="U71" t="str">
        <f>'Translate&amp;Prices&amp;Logo'!$B$17</f>
        <v>Corleone (elox.) - maximum profile length 1500 mm</v>
      </c>
      <c r="AJ71" s="1">
        <v>40</v>
      </c>
    </row>
    <row r="72" spans="5:36" ht="14.85" hidden="1" customHeight="1">
      <c r="E72" s="168" t="e">
        <f ca="1"/>
        <v>#N/A</v>
      </c>
      <c r="I72" s="1" t="e">
        <f ca="1"/>
        <v>#N/A</v>
      </c>
      <c r="M72" s="1" t="e">
        <f ca="1"/>
        <v>#N/A</v>
      </c>
      <c r="U72" t="str">
        <f>'Translate&amp;Prices&amp;Logo'!$B$18</f>
        <v>Corleone black matt - maximum profile length 1500 mm</v>
      </c>
      <c r="AJ72" s="1">
        <v>40</v>
      </c>
    </row>
    <row r="73" spans="5:36" ht="14.85" hidden="1" customHeight="1">
      <c r="E73" s="168" t="e">
        <f ca="1"/>
        <v>#N/A</v>
      </c>
      <c r="I73" s="1" t="e">
        <f ca="1"/>
        <v>#N/A</v>
      </c>
      <c r="M73" s="1" t="e">
        <f ca="1"/>
        <v>#N/A</v>
      </c>
      <c r="U73" t="str">
        <f>'Translate&amp;Prices&amp;Logo'!$B$59</f>
        <v>ASTI black matt - maximum profile length 2150 mm</v>
      </c>
      <c r="AJ73" s="1">
        <v>20</v>
      </c>
    </row>
    <row r="74" spans="5:36" ht="14.85" hidden="1" customHeight="1">
      <c r="E74" s="168" t="e">
        <f ca="1"/>
        <v>#N/A</v>
      </c>
      <c r="I74" s="1" t="e">
        <f ca="1"/>
        <v>#N/A</v>
      </c>
      <c r="M74" s="1" t="e">
        <f ca="1"/>
        <v>#N/A</v>
      </c>
      <c r="U74" t="str">
        <f>'Translate&amp;Prices&amp;Logo'!$B$60</f>
        <v>ASTI anthracite RAL 7021 matt - maximum profile length 2500 mm</v>
      </c>
      <c r="AJ74" s="1">
        <v>20</v>
      </c>
    </row>
    <row r="75" spans="5:36" ht="14.85" hidden="1" customHeight="1">
      <c r="E75" s="168" t="e">
        <f ca="1"/>
        <v>#N/A</v>
      </c>
      <c r="I75" s="1" t="e">
        <f ca="1"/>
        <v>#N/A</v>
      </c>
      <c r="M75" s="1" t="e">
        <f ca="1"/>
        <v>#N/A</v>
      </c>
      <c r="U75" t="str">
        <f>'Translate&amp;Prices&amp;Logo'!$B$19</f>
        <v>Imola (elox.) - maximum profile length 2500 mm</v>
      </c>
      <c r="AJ75" s="1">
        <v>40</v>
      </c>
    </row>
    <row r="76" spans="5:36" ht="14.85" hidden="1" customHeight="1">
      <c r="E76" s="168" t="e">
        <f ca="1"/>
        <v>#N/A</v>
      </c>
      <c r="I76" s="1" t="e">
        <f ca="1"/>
        <v>#N/A</v>
      </c>
      <c r="M76" s="1" t="e">
        <f ca="1"/>
        <v>#N/A</v>
      </c>
      <c r="U76" t="str">
        <f>'Translate&amp;Prices&amp;Logo'!$B$20</f>
        <v>Imola black matt - maximum profile length 2500 mm</v>
      </c>
      <c r="AJ76" s="1">
        <v>40</v>
      </c>
    </row>
    <row r="77" spans="5:36" ht="14.85" hidden="1" customHeight="1">
      <c r="E77" s="168" t="e">
        <f ca="1"/>
        <v>#N/A</v>
      </c>
      <c r="I77" s="1" t="e">
        <f ca="1"/>
        <v>#N/A</v>
      </c>
      <c r="M77" s="1" t="e">
        <f ca="1"/>
        <v>#N/A</v>
      </c>
      <c r="U77" t="str">
        <f>'Translate&amp;Prices&amp;Logo'!$B$21</f>
        <v>Imola white matt RAL 9003 - maximum profile length 2500 mm</v>
      </c>
      <c r="AJ77" s="1">
        <v>40</v>
      </c>
    </row>
    <row r="78" spans="5:36" ht="14.85" hidden="1" customHeight="1">
      <c r="E78" s="168" t="e">
        <f ca="1"/>
        <v>#N/A</v>
      </c>
      <c r="I78" s="1" t="e">
        <f ca="1"/>
        <v>#N/A</v>
      </c>
      <c r="M78" s="1" t="e">
        <f ca="1"/>
        <v>#N/A</v>
      </c>
      <c r="U78" t="str">
        <f>'Translate&amp;Prices&amp;Logo'!$B$45</f>
        <v>Imola gold - maximum profile length 2150 mm</v>
      </c>
      <c r="AJ78" s="1">
        <v>40</v>
      </c>
    </row>
    <row r="79" spans="5:36" ht="14.85" hidden="1" customHeight="1">
      <c r="E79" s="168" t="e">
        <f ca="1"/>
        <v>#N/A</v>
      </c>
      <c r="I79" s="1" t="e">
        <f ca="1"/>
        <v>#N/A</v>
      </c>
      <c r="M79" s="1" t="e">
        <f ca="1"/>
        <v>#N/A</v>
      </c>
      <c r="U79" t="str">
        <f>'Translate&amp;Prices&amp;Logo'!$B$22</f>
        <v>Modena (elox.) - maximum profile length 2500 mm</v>
      </c>
      <c r="AJ79" s="1">
        <v>40</v>
      </c>
    </row>
    <row r="80" spans="5:36" ht="14.85" hidden="1" customHeight="1">
      <c r="E80" s="168" t="e">
        <f ca="1"/>
        <v>#N/A</v>
      </c>
      <c r="I80" s="1" t="e">
        <f ca="1"/>
        <v>#N/A</v>
      </c>
      <c r="M80" s="1" t="e">
        <f ca="1"/>
        <v>#N/A</v>
      </c>
      <c r="U80" t="str">
        <f>'Translate&amp;Prices&amp;Logo'!$B$23</f>
        <v>Modena black matt - maximum profile length 2500 mm</v>
      </c>
      <c r="AJ80" s="1">
        <v>40</v>
      </c>
    </row>
    <row r="81" spans="5:36" ht="14.85" hidden="1" customHeight="1">
      <c r="E81" s="168" t="e">
        <f ca="1"/>
        <v>#N/A</v>
      </c>
      <c r="I81" s="1" t="e">
        <f ca="1"/>
        <v>#N/A</v>
      </c>
      <c r="M81" s="1" t="e">
        <f ca="1"/>
        <v>#N/A</v>
      </c>
      <c r="U81" t="str">
        <f>'Translate&amp;Prices&amp;Logo'!$B$25</f>
        <v>black black brushed - maximum profile length 2500 mm</v>
      </c>
      <c r="AJ81" s="1">
        <v>40</v>
      </c>
    </row>
    <row r="82" spans="5:36" ht="14.85" hidden="1" customHeight="1">
      <c r="E82" s="168" t="e">
        <f ca="1"/>
        <v>#N/A</v>
      </c>
      <c r="I82" s="1" t="e">
        <f ca="1"/>
        <v>#N/A</v>
      </c>
      <c r="M82" s="1" t="e">
        <f ca="1"/>
        <v>#N/A</v>
      </c>
      <c r="U82" t="str">
        <f>'Translate&amp;Prices&amp;Logo'!$B$26</f>
        <v>Modena dark stainless steel brushed - maximum profile length 2500 mm</v>
      </c>
      <c r="AJ82" s="1">
        <v>40</v>
      </c>
    </row>
    <row r="83" spans="5:36" ht="14.85" hidden="1" customHeight="1">
      <c r="E83" s="168" t="e">
        <f ca="1"/>
        <v>#N/A</v>
      </c>
      <c r="I83" s="1" t="e">
        <f ca="1"/>
        <v>#N/A</v>
      </c>
      <c r="M83" s="1" t="e">
        <f ca="1"/>
        <v>#N/A</v>
      </c>
      <c r="U83" t="str">
        <f>'Translate&amp;Prices&amp;Logo'!$B$29</f>
        <v>Pisa (elox.) - maximum profile length 2500 mm</v>
      </c>
      <c r="AJ83" s="1">
        <v>40</v>
      </c>
    </row>
    <row r="84" spans="5:36" ht="14.85" hidden="1" customHeight="1">
      <c r="E84" s="168" t="e">
        <f ca="1"/>
        <v>#N/A</v>
      </c>
      <c r="I84" s="1" t="e">
        <f ca="1"/>
        <v>#N/A</v>
      </c>
      <c r="M84" s="1" t="e">
        <f ca="1"/>
        <v>#N/A</v>
      </c>
      <c r="U84" t="str">
        <f>'Translate&amp;Prices&amp;Logo'!$B$52</f>
        <v>Pisa white matt RAL 9003 - maximum profile length 2500 mm</v>
      </c>
      <c r="AJ84" s="1">
        <v>40</v>
      </c>
    </row>
    <row r="85" spans="5:36" ht="14.85" hidden="1" customHeight="1">
      <c r="E85" s="168" t="e">
        <f ca="1"/>
        <v>#N/A</v>
      </c>
      <c r="I85" s="1" t="e">
        <f ca="1"/>
        <v>#N/A</v>
      </c>
      <c r="M85" s="1" t="e">
        <f ca="1"/>
        <v>#N/A</v>
      </c>
      <c r="U85" t="str">
        <f>'Translate&amp;Prices&amp;Logo'!$B$53</f>
        <v>Pisa white gloss RAL 9003 - maximum profile length 2500 mm</v>
      </c>
      <c r="AJ85" s="1">
        <v>40</v>
      </c>
    </row>
    <row r="86" spans="5:36" ht="14.85" hidden="1" customHeight="1">
      <c r="E86" s="168" t="e">
        <f ca="1"/>
        <v>#N/A</v>
      </c>
      <c r="I86" s="1" t="e">
        <f ca="1"/>
        <v>#N/A</v>
      </c>
      <c r="M86" s="1" t="e">
        <f ca="1"/>
        <v>#N/A</v>
      </c>
      <c r="U86" t="str">
        <f>'Translate&amp;Prices&amp;Logo'!$B$30</f>
        <v>Pisa black matt - maximum profile length 2500 mm</v>
      </c>
      <c r="AJ86" s="1">
        <v>40</v>
      </c>
    </row>
    <row r="87" spans="5:36" ht="14.85" hidden="1" customHeight="1">
      <c r="E87" s="168" t="e">
        <f ca="1"/>
        <v>#N/A</v>
      </c>
      <c r="I87" s="1" t="e">
        <f ca="1"/>
        <v>#N/A</v>
      </c>
      <c r="M87" s="1" t="e">
        <f ca="1"/>
        <v>#N/A</v>
      </c>
      <c r="U87" t="str">
        <f>'Translate&amp;Prices&amp;Logo'!$B$58</f>
        <v>Pisa gold - maximum profile length 2150 mm</v>
      </c>
      <c r="AJ87" s="1">
        <v>40</v>
      </c>
    </row>
    <row r="88" spans="5:36" ht="14.85" hidden="1" customHeight="1">
      <c r="E88" s="168" t="e">
        <f ca="1"/>
        <v>#N/A</v>
      </c>
      <c r="I88" s="1" t="e">
        <f ca="1"/>
        <v>#N/A</v>
      </c>
      <c r="M88" s="1" t="e">
        <f ca="1"/>
        <v>#N/A</v>
      </c>
      <c r="U88" t="str">
        <f>'Translate&amp;Prices&amp;Logo'!$B$50</f>
        <v>Rocca (elox.) - maximum profile length 2150 mm</v>
      </c>
      <c r="AJ88" s="1">
        <v>20</v>
      </c>
    </row>
    <row r="89" spans="5:36" ht="14.85" hidden="1" customHeight="1">
      <c r="E89" s="168" t="e">
        <f ca="1"/>
        <v>#N/A</v>
      </c>
      <c r="I89" s="1" t="e">
        <f ca="1"/>
        <v>#N/A</v>
      </c>
      <c r="M89" s="1" t="e">
        <f ca="1"/>
        <v>#N/A</v>
      </c>
      <c r="U89" t="str">
        <f>'Translate&amp;Prices&amp;Logo'!$B$42</f>
        <v>Rocca black matt - maximum profile length 2150 mm</v>
      </c>
      <c r="AJ89" s="1">
        <v>20</v>
      </c>
    </row>
    <row r="90" spans="5:36" ht="14.85" hidden="1" customHeight="1">
      <c r="E90" s="168" t="e">
        <f ca="1"/>
        <v>#N/A</v>
      </c>
      <c r="I90" s="1" t="e">
        <f ca="1"/>
        <v>#N/A</v>
      </c>
      <c r="M90" s="1" t="e">
        <f ca="1"/>
        <v>#N/A</v>
      </c>
      <c r="U90" t="str">
        <f>'Translate&amp;Prices&amp;Logo'!$B$34</f>
        <v>Verona (elox.) - maximum profile length 2500 mm</v>
      </c>
      <c r="AJ90" s="1">
        <v>20</v>
      </c>
    </row>
    <row r="91" spans="5:36" ht="14.85" hidden="1" customHeight="1">
      <c r="E91" s="168" t="e">
        <f ca="1"/>
        <v>#N/A</v>
      </c>
      <c r="I91" s="1" t="e">
        <f ca="1"/>
        <v>#N/A</v>
      </c>
      <c r="M91" s="1" t="e">
        <f ca="1"/>
        <v>#N/A</v>
      </c>
      <c r="U91" t="str">
        <f>'Translate&amp;Prices&amp;Logo'!$B$35</f>
        <v>Verona brushed aluminium - maximum profile length 2500 mm</v>
      </c>
      <c r="AJ91" s="1">
        <v>20</v>
      </c>
    </row>
    <row r="92" spans="5:36" ht="14.85" hidden="1" customHeight="1">
      <c r="E92" s="168" t="e">
        <f ca="1"/>
        <v>#N/A</v>
      </c>
      <c r="I92" s="1" t="e">
        <f ca="1"/>
        <v>#N/A</v>
      </c>
      <c r="M92" s="1" t="e">
        <f ca="1"/>
        <v>#N/A</v>
      </c>
      <c r="U92" t="str">
        <f>'Translate&amp;Prices&amp;Logo'!$B$37</f>
        <v>Verona black matt - maximum profile length 2500 mm</v>
      </c>
      <c r="AJ92" s="1">
        <v>20</v>
      </c>
    </row>
    <row r="93" spans="5:36" ht="14.85" hidden="1" customHeight="1">
      <c r="E93" s="168" t="e">
        <f ca="1"/>
        <v>#N/A</v>
      </c>
      <c r="I93" s="1" t="e">
        <f ca="1"/>
        <v>#N/A</v>
      </c>
      <c r="M93" s="1" t="e">
        <f ca="1"/>
        <v>#N/A</v>
      </c>
      <c r="U93" t="str">
        <f>'Translate&amp;Prices&amp;Logo'!$B$36</f>
        <v>Verona black gloss - maximum profile length 2500 mm</v>
      </c>
      <c r="AJ93" s="1">
        <v>20</v>
      </c>
    </row>
    <row r="94" spans="5:36" ht="14.85" hidden="1" customHeight="1">
      <c r="E94" s="168" t="e">
        <f ca="1"/>
        <v>#N/A</v>
      </c>
      <c r="I94" s="1" t="e">
        <f ca="1"/>
        <v>#N/A</v>
      </c>
      <c r="M94" s="1" t="e">
        <f ca="1"/>
        <v>#N/A</v>
      </c>
      <c r="U94" t="str">
        <f>'Translate&amp;Prices&amp;Logo'!$B$38</f>
        <v>Verona brown - maximum profile length 2500 mm</v>
      </c>
      <c r="AJ94" s="1">
        <v>20</v>
      </c>
    </row>
    <row r="95" spans="5:36" ht="14.85" hidden="1" customHeight="1">
      <c r="E95" s="168" t="e">
        <f ca="1"/>
        <v>#N/A</v>
      </c>
      <c r="I95" s="1" t="e">
        <f ca="1"/>
        <v>#N/A</v>
      </c>
      <c r="M95" s="1" t="e">
        <f ca="1"/>
        <v>#N/A</v>
      </c>
      <c r="U95" t="str">
        <f>'Translate&amp;Prices&amp;Logo'!$B$39</f>
        <v>Verona champagne - maximum profile length 2500 mm</v>
      </c>
      <c r="AJ95" s="1">
        <v>20</v>
      </c>
    </row>
    <row r="96" spans="5:36" ht="14.85" hidden="1" customHeight="1">
      <c r="E96" s="168" t="e">
        <f ca="1"/>
        <v>#N/A</v>
      </c>
      <c r="I96" s="1" t="e">
        <f ca="1"/>
        <v>#N/A</v>
      </c>
      <c r="M96" s="1" t="e">
        <f ca="1"/>
        <v>#N/A</v>
      </c>
      <c r="U96" t="str">
        <f>'Translate&amp;Prices&amp;Logo'!$B$40</f>
        <v>Verona dark stainless steel brushed - maximum profile length 2500 mm</v>
      </c>
      <c r="AJ96" s="1">
        <v>20</v>
      </c>
    </row>
    <row r="97" spans="5:36" ht="14.85" hidden="1" customHeight="1">
      <c r="E97" s="168" t="e">
        <f ca="1"/>
        <v>#N/A</v>
      </c>
      <c r="I97" s="1" t="e">
        <f ca="1"/>
        <v>#N/A</v>
      </c>
      <c r="M97" s="1" t="e">
        <f ca="1"/>
        <v>#N/A</v>
      </c>
      <c r="U97" t="str">
        <f>'Translate&amp;Prices&amp;Logo'!$B$41</f>
        <v>Verona light stainless steel (Acier grata) - maximum profile length 2500 mm</v>
      </c>
      <c r="AJ97" s="1">
        <v>20</v>
      </c>
    </row>
    <row r="98" spans="5:36" ht="14.85" hidden="1" customHeight="1">
      <c r="E98" s="168" t="e">
        <f ca="1"/>
        <v>#N/A</v>
      </c>
      <c r="I98" s="1" t="e">
        <f ca="1"/>
        <v>#N/A</v>
      </c>
      <c r="M98" s="1" t="e">
        <f ca="1"/>
        <v>#N/A</v>
      </c>
      <c r="U98" t="str">
        <f>'Translate&amp;Prices&amp;Logo'!$B$24</f>
        <v>Verona gold - maximum profile length 2150 mm</v>
      </c>
      <c r="AJ98" s="1">
        <v>20</v>
      </c>
    </row>
    <row r="99" spans="5:36" ht="14.85" hidden="1" customHeight="1">
      <c r="E99" s="168" t="e">
        <f ca="1"/>
        <v>#N/A</v>
      </c>
      <c r="I99" s="1" t="e">
        <f ca="1"/>
        <v>#N/A</v>
      </c>
      <c r="M99" s="1" t="e">
        <f ca="1"/>
        <v>#N/A</v>
      </c>
      <c r="U99" t="str">
        <f>'Translate&amp;Prices&amp;Logo'!$B$56</f>
        <v>Verona gold brushed - maximum profile length 2150 mm</v>
      </c>
      <c r="AJ99" s="1">
        <v>20</v>
      </c>
    </row>
    <row r="100" spans="5:36" ht="14.85" hidden="1" customHeight="1">
      <c r="E100" s="168" t="e">
        <f ca="1"/>
        <v>#N/A</v>
      </c>
      <c r="I100" s="1" t="e">
        <f ca="1"/>
        <v>#N/A</v>
      </c>
      <c r="M100" s="1" t="e">
        <f ca="1"/>
        <v>#N/A</v>
      </c>
      <c r="U100" t="str">
        <f>'Translate&amp;Prices&amp;Logo'!$B$43</f>
        <v>Vivaro (elox.) - maximum profile length 2500 mm</v>
      </c>
      <c r="AJ100" s="1">
        <v>45</v>
      </c>
    </row>
    <row r="101" spans="5:36" ht="14.85" hidden="1" customHeight="1">
      <c r="E101" s="168"/>
      <c r="U101" t="str">
        <f>'Translate&amp;Prices&amp;Logo'!$B$44</f>
        <v>Vivaro black matt - maximum profile length 2500 mm</v>
      </c>
      <c r="AJ101" s="1">
        <v>45</v>
      </c>
    </row>
    <row r="102" spans="5:36" ht="14.85" hidden="1" customHeight="1">
      <c r="E102" s="168"/>
      <c r="U102" t="str">
        <f>'Translate&amp;Prices&amp;Logo'!$B$46</f>
        <v>Vivaro dark stainless steel - maximum profile length 2500 mm</v>
      </c>
      <c r="AJ102" s="1">
        <v>45</v>
      </c>
    </row>
    <row r="103" spans="5:36" ht="14.85" hidden="1" customHeight="1">
      <c r="E103" s="168"/>
      <c r="U103" t="str">
        <f>'Translate&amp;Prices&amp;Logo'!$B$47</f>
        <v>Vivaro white matt RAL 9003 - maximum profile length 2500 mm</v>
      </c>
      <c r="AJ103" s="1">
        <v>45</v>
      </c>
    </row>
    <row r="104" spans="5:36" ht="14.85" hidden="1" customHeight="1">
      <c r="E104" s="168"/>
      <c r="U104" t="str">
        <f>'Translate&amp;Prices&amp;Logo'!$B$48</f>
        <v>Vivaro white gloss RAL 9003 - maximum profile length 2500 mm</v>
      </c>
      <c r="AJ104" s="1">
        <v>45</v>
      </c>
    </row>
    <row r="105" spans="5:36" ht="14.85" hidden="1" customHeight="1">
      <c r="E105" s="168"/>
      <c r="U105" t="str">
        <f>'Translate&amp;Prices&amp;Logo'!$B$31</f>
        <v>Vivaro gold - maximum profile length 2150 mm</v>
      </c>
      <c r="AJ105" s="1">
        <v>45</v>
      </c>
    </row>
    <row r="106" spans="5:36" ht="14.85" hidden="1" customHeight="1">
      <c r="U106" t="str">
        <f>'Translate&amp;Prices&amp;Logo'!$B$57</f>
        <v>Vivaro gold brushed - maximum profile length 2150 mm</v>
      </c>
      <c r="AJ106" s="1">
        <v>45</v>
      </c>
    </row>
    <row r="107" spans="5:36" ht="14.85" hidden="1" customHeight="1">
      <c r="U107" t="str">
        <f>'Translate&amp;Prices&amp;Logo'!$B$80</f>
        <v>Rocca elox (Left and Right) + Varna elox (Top and Bottom)</v>
      </c>
      <c r="AJ107" s="1">
        <v>20</v>
      </c>
    </row>
    <row r="108" spans="5:36" ht="14.85" hidden="1" customHeight="1">
      <c r="U108" t="str">
        <f>'Translate&amp;Prices&amp;Logo'!$B$81</f>
        <v>Rocca black (Left and right) + Varna black (Top and bottom)</v>
      </c>
      <c r="AJ108" s="1">
        <v>20</v>
      </c>
    </row>
    <row r="109" spans="5:36" ht="14.85" hidden="1" customHeight="1">
      <c r="U109" t="str">
        <f>'Translate&amp;Prices&amp;Logo'!$B$71</f>
        <v>ROMA black matt  - maximum profile length 2696 mm</v>
      </c>
      <c r="AJ109" s="1">
        <v>27</v>
      </c>
    </row>
    <row r="110" spans="5:36" ht="14.85" hidden="1" customHeight="1">
      <c r="U110" t="str">
        <f>'Translate&amp;Prices&amp;Logo'!$B$72</f>
        <v>ROMA champagne matt  - maximum profile length 2696 mm</v>
      </c>
      <c r="AJ110" s="1">
        <v>27</v>
      </c>
    </row>
    <row r="111" spans="5:36" ht="14.85" hidden="1" customHeight="1">
      <c r="U111" t="str">
        <f>'Translate&amp;Prices&amp;Logo'!$B$73</f>
        <v>ROMA GRIP black matt  - maximum profile length 2696 mm</v>
      </c>
      <c r="AJ111" s="1">
        <v>27</v>
      </c>
    </row>
    <row r="112" spans="5:36" ht="14.85" hidden="1" customHeight="1">
      <c r="U112" t="str">
        <f>'Translate&amp;Prices&amp;Logo'!$B$74</f>
        <v>ROMA GRIP champagne matt  - maximum profile length 2696 mm</v>
      </c>
      <c r="AJ112" s="1">
        <v>27</v>
      </c>
    </row>
  </sheetData>
  <sheetProtection algorithmName="SHA-512" hashValue="3UZTFHes04qyMd/B3uTjpJOl1aFMw2Qa4AmdsHSrt7NKbtDrykuasGOkWDGpdxq6erKE5ET71LBM7DlyukxDDQ==" saltValue="LeWjsA8jCCELutWQlna43g==" spinCount="100000" sheet="1"/>
  <mergeCells count="98">
    <mergeCell ref="P2:AB3"/>
    <mergeCell ref="C15:G15"/>
    <mergeCell ref="C17:G17"/>
    <mergeCell ref="Y17:Z17"/>
    <mergeCell ref="P4:AC5"/>
    <mergeCell ref="C9:G9"/>
    <mergeCell ref="C11:G11"/>
    <mergeCell ref="C13:G13"/>
    <mergeCell ref="I9:N9"/>
    <mergeCell ref="S9:T9"/>
    <mergeCell ref="V9:W9"/>
    <mergeCell ref="I11:N11"/>
    <mergeCell ref="I13:N13"/>
    <mergeCell ref="Y11:Z11"/>
    <mergeCell ref="Y9:Z9"/>
    <mergeCell ref="AB9:AC9"/>
    <mergeCell ref="V11:W11"/>
    <mergeCell ref="S13:T13"/>
    <mergeCell ref="V13:W13"/>
    <mergeCell ref="S11:T11"/>
    <mergeCell ref="AB11:AC11"/>
    <mergeCell ref="Y13:Z13"/>
    <mergeCell ref="AB13:AC13"/>
    <mergeCell ref="Y15:Z15"/>
    <mergeCell ref="AB15:AC15"/>
    <mergeCell ref="C19:G19"/>
    <mergeCell ref="S15:T15"/>
    <mergeCell ref="V15:W15"/>
    <mergeCell ref="S17:T17"/>
    <mergeCell ref="V17:W17"/>
    <mergeCell ref="I15:N15"/>
    <mergeCell ref="I17:N17"/>
    <mergeCell ref="C18:J18"/>
    <mergeCell ref="K18:N18"/>
    <mergeCell ref="AG22:AJ22"/>
    <mergeCell ref="AC22:AE22"/>
    <mergeCell ref="S22:AB22"/>
    <mergeCell ref="AB17:AC17"/>
    <mergeCell ref="B26:C26"/>
    <mergeCell ref="AG26:AJ26"/>
    <mergeCell ref="M24:O24"/>
    <mergeCell ref="I24:K24"/>
    <mergeCell ref="AG24:AJ24"/>
    <mergeCell ref="E24:G24"/>
    <mergeCell ref="S24:AA24"/>
    <mergeCell ref="AC24:AE24"/>
    <mergeCell ref="I19:N21"/>
    <mergeCell ref="E26:G26"/>
    <mergeCell ref="I26:K26"/>
    <mergeCell ref="M26:O26"/>
    <mergeCell ref="S26:AA26"/>
    <mergeCell ref="AC26:AE26"/>
    <mergeCell ref="B28:C28"/>
    <mergeCell ref="B30:C30"/>
    <mergeCell ref="I30:K30"/>
    <mergeCell ref="M30:O30"/>
    <mergeCell ref="E28:G28"/>
    <mergeCell ref="I28:K28"/>
    <mergeCell ref="M28:O28"/>
    <mergeCell ref="E30:G30"/>
    <mergeCell ref="S28:AA28"/>
    <mergeCell ref="AC28:AE28"/>
    <mergeCell ref="S37:V37"/>
    <mergeCell ref="B39:C39"/>
    <mergeCell ref="AC39:AJ39"/>
    <mergeCell ref="B32:C32"/>
    <mergeCell ref="B35:C35"/>
    <mergeCell ref="E32:G33"/>
    <mergeCell ref="I32:K33"/>
    <mergeCell ref="M32:O33"/>
    <mergeCell ref="AC34:AE34"/>
    <mergeCell ref="E48:F48"/>
    <mergeCell ref="E39:G40"/>
    <mergeCell ref="I39:K40"/>
    <mergeCell ref="M39:O40"/>
    <mergeCell ref="I48:J48"/>
    <mergeCell ref="M48:N48"/>
    <mergeCell ref="AG28:AJ28"/>
    <mergeCell ref="Z42:AB42"/>
    <mergeCell ref="Z43:AB43"/>
    <mergeCell ref="Z44:AB44"/>
    <mergeCell ref="X37:Z37"/>
    <mergeCell ref="AJ2:AN3"/>
    <mergeCell ref="S7:AC7"/>
    <mergeCell ref="B48:C48"/>
    <mergeCell ref="BB29:BB30"/>
    <mergeCell ref="AL22:AM22"/>
    <mergeCell ref="E35:G37"/>
    <mergeCell ref="I35:K37"/>
    <mergeCell ref="M35:O37"/>
    <mergeCell ref="AG34:AJ34"/>
    <mergeCell ref="S30:AA30"/>
    <mergeCell ref="AC30:AE30"/>
    <mergeCell ref="AG30:AJ30"/>
    <mergeCell ref="S32:AA32"/>
    <mergeCell ref="AC32:AE32"/>
    <mergeCell ref="AG32:AJ32"/>
    <mergeCell ref="S34:AA34"/>
  </mergeCells>
  <conditionalFormatting sqref="C19:G19">
    <cfRule type="expression" dxfId="181" priority="14">
      <formula>$I$17="Dostawa na adres"</formula>
    </cfRule>
  </conditionalFormatting>
  <conditionalFormatting sqref="H19">
    <cfRule type="expression" dxfId="179" priority="13">
      <formula>I17="Dostawa na adres"</formula>
    </cfRule>
  </conditionalFormatting>
  <conditionalFormatting sqref="K20">
    <cfRule type="expression" dxfId="177" priority="692">
      <formula>#REF!="Dostawa na adres"</formula>
    </cfRule>
  </conditionalFormatting>
  <conditionalFormatting sqref="K19:L19 I19:J21 M19:N21 K21:L21">
    <cfRule type="expression" dxfId="176" priority="12">
      <formula>I17="Dostawa na adres"</formula>
    </cfRule>
  </conditionalFormatting>
  <conditionalFormatting sqref="L20">
    <cfRule type="expression" dxfId="175" priority="691">
      <formula>K18="Dostawa na adres"</formula>
    </cfRule>
  </conditionalFormatting>
  <conditionalFormatting sqref="S37">
    <cfRule type="expression" dxfId="174" priority="7">
      <formula>I17="Dostawa na adres"</formula>
    </cfRule>
  </conditionalFormatting>
  <conditionalFormatting sqref="U86:U87 U100:U105 U109:U112 U57:U69 U71:U83 U90:U92 U94:U98">
    <cfRule type="expression" dxfId="173" priority="4" stopIfTrue="1">
      <formula>AND(COUNTIF($A$37:$A$41, U57)+COUNTIF($A$3:$A$15, U57)+COUNTIF($A$17:$A$31, U57)+COUNTIF($A$33:$A$35, U57)+COUNTIF($A$43:$A$47, U57)+COUNTIF($A$49:$A$54, U57)+COUNTIF($A$56:$A$99, U57)&gt;1,NOT(ISBLANK(U57)))</formula>
    </cfRule>
  </conditionalFormatting>
  <conditionalFormatting sqref="U87 U105 U109:U112">
    <cfRule type="expression" dxfId="172" priority="3" stopIfTrue="1">
      <formula>AND(COUNTIF($A$54:$A$54, U87)+COUNTIF($A$56:$A$59, U87)+COUNTIF($A$34:$A$34, U87)&gt;1,NOT(ISBLANK(U87)))</formula>
    </cfRule>
  </conditionalFormatting>
  <conditionalFormatting sqref="W37">
    <cfRule type="expression" dxfId="171" priority="8">
      <formula>I17="Dostawa na adres"</formula>
    </cfRule>
  </conditionalFormatting>
  <conditionalFormatting sqref="X37">
    <cfRule type="expression" dxfId="170" priority="6">
      <formula>I17="Dostawa na adres"</formula>
    </cfRule>
  </conditionalFormatting>
  <conditionalFormatting sqref="AA37">
    <cfRule type="expression" dxfId="169" priority="5">
      <formula>I17="Dostawa na adres"</formula>
    </cfRule>
  </conditionalFormatting>
  <conditionalFormatting sqref="AC24:AE24 AC26:AE26 AC28:AE28 AC30:AE30 AC32:AE32 AC34:AE34">
    <cfRule type="cellIs" dxfId="168" priority="32" operator="equal">
      <formula>0</formula>
    </cfRule>
  </conditionalFormatting>
  <conditionalFormatting sqref="AF24 AF26 AF28 AF30 AF32 AF34">
    <cfRule type="expression" dxfId="167" priority="225">
      <formula>$AG24&gt;0</formula>
    </cfRule>
  </conditionalFormatting>
  <conditionalFormatting sqref="AK24">
    <cfRule type="cellIs" dxfId="166" priority="28" operator="equal">
      <formula>0</formula>
    </cfRule>
  </conditionalFormatting>
  <conditionalFormatting sqref="AK26">
    <cfRule type="cellIs" dxfId="165" priority="27" operator="equal">
      <formula>0</formula>
    </cfRule>
  </conditionalFormatting>
  <conditionalFormatting sqref="AK28">
    <cfRule type="cellIs" dxfId="164" priority="26" operator="equal">
      <formula>0</formula>
    </cfRule>
  </conditionalFormatting>
  <conditionalFormatting sqref="AK30">
    <cfRule type="cellIs" dxfId="163" priority="25" operator="equal">
      <formula>0</formula>
    </cfRule>
  </conditionalFormatting>
  <conditionalFormatting sqref="AK32">
    <cfRule type="cellIs" dxfId="162" priority="24" operator="equal">
      <formula>0</formula>
    </cfRule>
  </conditionalFormatting>
  <conditionalFormatting sqref="AK34">
    <cfRule type="cellIs" dxfId="161" priority="23" operator="equal">
      <formula>0</formula>
    </cfRule>
  </conditionalFormatting>
  <conditionalFormatting sqref="AK37">
    <cfRule type="cellIs" dxfId="160" priority="31" operator="equal">
      <formula>0</formula>
    </cfRule>
  </conditionalFormatting>
  <conditionalFormatting sqref="AK39">
    <cfRule type="cellIs" dxfId="159" priority="29" operator="equal">
      <formula>0</formula>
    </cfRule>
  </conditionalFormatting>
  <dataValidations count="5">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 type="list" allowBlank="1" showInputMessage="1" showErrorMessage="1" sqref="M35:O37 E35:G37 I35:K37" xr:uid="{93C841BE-1A41-4044-9BDD-ACB47CED3DEE}">
      <formula1>$U$57:$U$112</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333375</xdr:colOff>
                    <xdr:row>20</xdr:row>
                    <xdr:rowOff>180975</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0" id="{15600A83-ECF6-4B53-9F3E-430E57CDC678}">
            <xm:f>Hlavní!V39=3</xm:f>
            <x14:dxf>
              <fill>
                <patternFill>
                  <bgColor theme="2"/>
                </patternFill>
              </fill>
            </x14:dxf>
          </x14:cfRule>
          <xm:sqref>H17</xm:sqref>
        </x14:conditionalFormatting>
        <x14:conditionalFormatting xmlns:xm="http://schemas.microsoft.com/office/excel/2006/main">
          <x14:cfRule type="expression" priority="9" id="{93B468E8-D8B2-438F-AA89-5EE34535F192}">
            <xm:f>Hlavní!V39=3</xm:f>
            <x14:dxf>
              <fill>
                <patternFill>
                  <bgColor rgb="FF009EE0"/>
                </patternFill>
              </fill>
            </x14:dxf>
          </x14:cfRule>
          <xm:sqref>I17:N17</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623C-B0E5-436E-A38E-65811B958B9B}">
  <sheetPr codeName="List29"/>
  <dimension ref="A1:DQ61"/>
  <sheetViews>
    <sheetView workbookViewId="0"/>
  </sheetViews>
  <sheetFormatPr defaultColWidth="8.5703125" defaultRowHeight="15"/>
  <cols>
    <col min="1" max="1" width="29.140625" bestFit="1" customWidth="1"/>
    <col min="2" max="2" width="24" customWidth="1"/>
    <col min="3" max="3" width="17" bestFit="1" customWidth="1"/>
    <col min="4" max="4" width="17" customWidth="1"/>
    <col min="5" max="5" width="3" style="142"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style="142" customWidth="1"/>
    <col min="13" max="13" width="21" bestFit="1" customWidth="1"/>
    <col min="14" max="14" width="15" bestFit="1" customWidth="1"/>
    <col min="15" max="15" width="3" style="142" customWidth="1"/>
    <col min="16" max="16" width="23.140625" customWidth="1"/>
    <col min="17" max="18" width="19.42578125" bestFit="1" customWidth="1"/>
    <col min="19" max="19" width="19.42578125" customWidth="1"/>
    <col min="20" max="21" width="15.140625" customWidth="1"/>
    <col min="22" max="22" width="19.42578125" bestFit="1" customWidth="1"/>
    <col min="23" max="23" width="3" style="142" customWidth="1"/>
    <col min="24" max="24" width="12.140625" bestFit="1" customWidth="1"/>
    <col min="25" max="25" width="4.140625" bestFit="1" customWidth="1"/>
    <col min="26" max="26" width="3" style="142" customWidth="1"/>
    <col min="27" max="27" width="18.42578125" bestFit="1" customWidth="1"/>
    <col min="28" max="28" width="17.42578125" bestFit="1" customWidth="1"/>
    <col min="29" max="29" width="14.42578125" bestFit="1" customWidth="1"/>
    <col min="30" max="30" width="16.42578125" customWidth="1"/>
    <col min="31" max="31" width="3" style="142" customWidth="1"/>
    <col min="32" max="32" width="17.42578125" customWidth="1"/>
    <col min="33" max="48" width="16.42578125" customWidth="1"/>
    <col min="49" max="49" width="3" style="142" customWidth="1"/>
    <col min="50" max="53" width="19.5703125" customWidth="1"/>
    <col min="54" max="54" width="3" style="142" customWidth="1"/>
    <col min="55" max="61" width="9.42578125" customWidth="1"/>
    <col min="62" max="62" width="3" style="142" customWidth="1"/>
    <col min="63" max="63" width="17.42578125" bestFit="1" customWidth="1"/>
    <col min="64" max="64" width="3" style="142" customWidth="1"/>
    <col min="65" max="65" width="12.5703125" customWidth="1"/>
    <col min="69" max="69" width="6.5703125" bestFit="1" customWidth="1"/>
    <col min="70" max="70" width="18.42578125" bestFit="1" customWidth="1"/>
    <col min="73" max="73" width="13.5703125" customWidth="1"/>
    <col min="74" max="74" width="32.5703125" customWidth="1"/>
    <col min="75" max="75" width="17.5703125" customWidth="1"/>
    <col min="77" max="77" width="21.42578125" bestFit="1" customWidth="1"/>
    <col min="82" max="82" width="16.42578125" customWidth="1"/>
    <col min="85" max="85" width="28.5703125" bestFit="1" customWidth="1"/>
    <col min="86" max="86" width="23.42578125" bestFit="1" customWidth="1"/>
    <col min="87" max="87" width="20.5703125" bestFit="1" customWidth="1"/>
    <col min="88" max="88" width="22.140625" bestFit="1" customWidth="1"/>
    <col min="89" max="89" width="23.42578125" bestFit="1" customWidth="1"/>
    <col min="90" max="90" width="20.140625" bestFit="1" customWidth="1"/>
    <col min="91" max="91" width="23.42578125" bestFit="1" customWidth="1"/>
    <col min="92" max="92" width="20.140625" bestFit="1" customWidth="1"/>
    <col min="93" max="93" width="23.42578125" bestFit="1" customWidth="1"/>
    <col min="94" max="94" width="20.140625" bestFit="1" customWidth="1"/>
    <col min="95" max="95" width="21.42578125" bestFit="1" customWidth="1"/>
    <col min="96" max="96" width="19.140625" bestFit="1" customWidth="1"/>
    <col min="97" max="97" width="21.42578125" bestFit="1" customWidth="1"/>
    <col min="98" max="98" width="19.140625" bestFit="1" customWidth="1"/>
    <col min="99" max="99" width="23.42578125" bestFit="1" customWidth="1"/>
    <col min="100" max="100" width="20.140625" bestFit="1" customWidth="1"/>
    <col min="101" max="102" width="19.140625" bestFit="1" customWidth="1"/>
    <col min="103" max="103" width="23.42578125" bestFit="1" customWidth="1"/>
    <col min="104" max="104" width="20.140625" bestFit="1" customWidth="1"/>
    <col min="105" max="110" width="19.140625" bestFit="1" customWidth="1"/>
    <col min="111" max="111" width="23.42578125" bestFit="1" customWidth="1"/>
    <col min="112" max="112" width="20.140625" bestFit="1" customWidth="1"/>
    <col min="113" max="113" width="23.42578125" bestFit="1" customWidth="1"/>
    <col min="114" max="114" width="20.140625" bestFit="1" customWidth="1"/>
    <col min="115" max="116" width="19.140625" bestFit="1" customWidth="1"/>
  </cols>
  <sheetData>
    <row r="1" spans="1:121">
      <c r="A1" s="119" t="s">
        <v>25</v>
      </c>
      <c r="B1" s="141"/>
      <c r="C1" s="141"/>
      <c r="D1" s="141"/>
      <c r="F1" s="119" t="s">
        <v>1864</v>
      </c>
      <c r="G1" s="141"/>
      <c r="H1" s="141" t="b">
        <v>0</v>
      </c>
      <c r="I1" s="141"/>
      <c r="J1" s="141"/>
      <c r="K1" s="141"/>
      <c r="M1" s="119" t="s">
        <v>1865</v>
      </c>
      <c r="N1" s="141"/>
      <c r="P1" s="141" t="e">
        <f t="array" ref="P1">IF($S$1=Varianta_N1,_N1,IF($S$1=Varianta_A1,_A1,IF($S$1=Varianta_N2,_N2,IF($S$1=Varianta_A2,_A2,IF($S$1=Varianta_N3,_N3,IF($S$1=Varianta_A3,_A3,0))))))</f>
        <v>#NAME?</v>
      </c>
      <c r="Q1" s="148" t="s">
        <v>1930</v>
      </c>
      <c r="R1" s="149" t="str">
        <f>VLOOKUP(Posuv!E35,$A:$C,3,0)</f>
        <v>N</v>
      </c>
      <c r="S1" s="141" t="str">
        <f>CONCATENATE("_",R1,V1)</f>
        <v>_N1</v>
      </c>
      <c r="T1" s="141"/>
      <c r="U1" s="148" t="s">
        <v>1929</v>
      </c>
      <c r="V1" s="149">
        <v>1</v>
      </c>
      <c r="X1" s="119" t="s">
        <v>1866</v>
      </c>
      <c r="Y1" s="141"/>
      <c r="AA1" s="141" t="s">
        <v>1021</v>
      </c>
      <c r="AB1" s="141"/>
      <c r="AC1" s="141"/>
      <c r="AD1" s="141"/>
      <c r="AF1" s="141" t="s">
        <v>1867</v>
      </c>
      <c r="AG1" s="141"/>
      <c r="AH1" s="141"/>
      <c r="AI1" s="141"/>
      <c r="AJ1" s="141"/>
      <c r="AK1" s="141"/>
      <c r="AL1" s="141"/>
      <c r="AM1" s="141"/>
      <c r="AN1" s="141"/>
      <c r="AO1" s="141"/>
      <c r="AP1" s="141"/>
      <c r="AQ1" s="141"/>
      <c r="AR1" s="141"/>
      <c r="AS1" s="141"/>
      <c r="AT1" s="141"/>
      <c r="AU1" s="141"/>
      <c r="AV1" s="141"/>
      <c r="AX1" s="141" t="s">
        <v>693</v>
      </c>
      <c r="AY1" s="141"/>
      <c r="AZ1" s="141"/>
      <c r="BA1" s="141"/>
      <c r="BC1" s="141" t="s">
        <v>9</v>
      </c>
      <c r="BD1" s="141"/>
      <c r="BE1" s="141"/>
      <c r="BF1" s="141"/>
      <c r="BG1" s="141"/>
      <c r="BH1" s="141"/>
      <c r="BI1" s="141"/>
      <c r="BK1" s="141" t="s">
        <v>987</v>
      </c>
      <c r="BM1" t="s">
        <v>1919</v>
      </c>
      <c r="BQ1" s="150" t="s">
        <v>1339</v>
      </c>
    </row>
    <row r="2" spans="1:121">
      <c r="A2" s="143" t="s">
        <v>1868</v>
      </c>
      <c r="B2" s="143" t="s">
        <v>1923</v>
      </c>
      <c r="C2" s="143" t="s">
        <v>1924</v>
      </c>
      <c r="D2" s="143" t="s">
        <v>1865</v>
      </c>
      <c r="F2" s="143" t="s">
        <v>1870</v>
      </c>
      <c r="G2" s="143" t="s">
        <v>1871</v>
      </c>
      <c r="H2" s="143" t="s">
        <v>1872</v>
      </c>
      <c r="I2" s="143" t="s">
        <v>1873</v>
      </c>
      <c r="J2" s="143"/>
      <c r="K2" s="143"/>
      <c r="M2" s="143" t="s">
        <v>1874</v>
      </c>
      <c r="P2" s="143" t="s">
        <v>1925</v>
      </c>
      <c r="Q2" s="143" t="s">
        <v>1922</v>
      </c>
      <c r="R2" s="143" t="s">
        <v>1926</v>
      </c>
      <c r="S2" s="143" t="s">
        <v>1921</v>
      </c>
      <c r="T2" s="143" t="s">
        <v>1927</v>
      </c>
      <c r="U2" s="143" t="s">
        <v>1866</v>
      </c>
      <c r="V2" s="143" t="s">
        <v>1928</v>
      </c>
      <c r="X2" s="143" t="s">
        <v>1875</v>
      </c>
      <c r="Y2" s="143" t="s">
        <v>1876</v>
      </c>
      <c r="AA2" s="143" t="s">
        <v>1339</v>
      </c>
      <c r="AB2" s="143" t="s">
        <v>1877</v>
      </c>
      <c r="AC2" s="143" t="s">
        <v>1878</v>
      </c>
      <c r="AD2" s="143" t="s">
        <v>987</v>
      </c>
      <c r="AF2" s="144" t="s">
        <v>1879</v>
      </c>
      <c r="AG2" s="144" t="s">
        <v>986</v>
      </c>
      <c r="AH2">
        <v>1</v>
      </c>
      <c r="AI2">
        <v>2</v>
      </c>
      <c r="AJ2">
        <v>3</v>
      </c>
      <c r="AK2">
        <v>4</v>
      </c>
      <c r="AL2">
        <v>5</v>
      </c>
      <c r="AM2">
        <v>6</v>
      </c>
      <c r="AN2">
        <v>7</v>
      </c>
      <c r="AO2">
        <v>8</v>
      </c>
      <c r="AP2">
        <v>9</v>
      </c>
      <c r="AQ2">
        <v>10</v>
      </c>
      <c r="AR2">
        <v>11</v>
      </c>
      <c r="AS2">
        <v>12</v>
      </c>
      <c r="AT2">
        <v>13</v>
      </c>
      <c r="AU2">
        <v>14</v>
      </c>
      <c r="AV2">
        <v>15</v>
      </c>
      <c r="AX2" s="143" t="s">
        <v>1869</v>
      </c>
      <c r="AY2" s="143" t="s">
        <v>1339</v>
      </c>
      <c r="AZ2" s="143" t="s">
        <v>1880</v>
      </c>
      <c r="BA2" s="143" t="s">
        <v>1881</v>
      </c>
      <c r="BC2" s="145">
        <v>1</v>
      </c>
      <c r="BD2" s="145">
        <v>2</v>
      </c>
      <c r="BE2" s="145">
        <v>3</v>
      </c>
      <c r="BF2" s="145">
        <v>4</v>
      </c>
      <c r="BG2" s="145">
        <v>5</v>
      </c>
      <c r="BH2" s="145">
        <v>6</v>
      </c>
      <c r="BI2" s="145">
        <v>7</v>
      </c>
      <c r="BK2" s="145" t="s">
        <v>1882</v>
      </c>
      <c r="BM2" s="143" t="s">
        <v>1920</v>
      </c>
      <c r="BN2" s="143" t="s">
        <v>1921</v>
      </c>
      <c r="BO2" s="143" t="s">
        <v>1866</v>
      </c>
      <c r="BQ2" t="str">
        <f>'Translate&amp;Prices&amp;Logo'!B551</f>
        <v>Hinges</v>
      </c>
      <c r="BR2" t="str">
        <f>'Translate&amp;Prices&amp;Logo'!B552</f>
        <v>Lifts</v>
      </c>
      <c r="BU2" t="str">
        <f>CONCATENATE("_",Ram_1!H12,"_",Ram_1!H13)</f>
        <v>__</v>
      </c>
      <c r="BV2" t="s">
        <v>1947</v>
      </c>
      <c r="BW2" t="s">
        <v>1942</v>
      </c>
      <c r="BY2" t="s">
        <v>220</v>
      </c>
      <c r="CA2" t="s">
        <v>1974</v>
      </c>
      <c r="CD2" t="s">
        <v>2049</v>
      </c>
      <c r="CG2" s="143" t="s">
        <v>802</v>
      </c>
      <c r="CH2" s="143" t="s">
        <v>2048</v>
      </c>
      <c r="CI2" s="146" t="s">
        <v>802</v>
      </c>
      <c r="CJ2" s="146" t="s">
        <v>2048</v>
      </c>
      <c r="CK2" s="143" t="s">
        <v>802</v>
      </c>
      <c r="CL2" s="143" t="s">
        <v>2048</v>
      </c>
      <c r="CM2" s="146" t="s">
        <v>802</v>
      </c>
      <c r="CN2" s="146" t="s">
        <v>2048</v>
      </c>
      <c r="CO2" s="143" t="s">
        <v>802</v>
      </c>
      <c r="CP2" s="143" t="s">
        <v>2048</v>
      </c>
      <c r="CQ2" s="146" t="s">
        <v>802</v>
      </c>
      <c r="CR2" s="146" t="s">
        <v>2048</v>
      </c>
      <c r="CS2" s="143" t="s">
        <v>802</v>
      </c>
      <c r="CT2" s="143" t="s">
        <v>2048</v>
      </c>
      <c r="CU2" s="146" t="s">
        <v>802</v>
      </c>
      <c r="CV2" s="146" t="s">
        <v>2048</v>
      </c>
      <c r="CW2" s="143" t="s">
        <v>802</v>
      </c>
      <c r="CX2" s="143" t="s">
        <v>2048</v>
      </c>
      <c r="CY2" s="146" t="s">
        <v>802</v>
      </c>
      <c r="CZ2" s="146" t="s">
        <v>2048</v>
      </c>
      <c r="DA2" s="143" t="s">
        <v>802</v>
      </c>
      <c r="DB2" s="143" t="s">
        <v>2048</v>
      </c>
      <c r="DC2" s="146" t="s">
        <v>802</v>
      </c>
      <c r="DD2" s="146" t="s">
        <v>2048</v>
      </c>
      <c r="DE2" s="143" t="s">
        <v>802</v>
      </c>
      <c r="DF2" s="143" t="s">
        <v>2048</v>
      </c>
      <c r="DG2" s="146" t="s">
        <v>802</v>
      </c>
      <c r="DH2" s="146" t="s">
        <v>2048</v>
      </c>
      <c r="DI2" s="143" t="s">
        <v>802</v>
      </c>
      <c r="DJ2" s="143" t="s">
        <v>2048</v>
      </c>
      <c r="DK2" s="146" t="s">
        <v>802</v>
      </c>
      <c r="DL2" s="146" t="s">
        <v>2048</v>
      </c>
      <c r="DN2" t="str">
        <f>'Translate&amp;Prices&amp;Logo'!B553</f>
        <v>Overlay</v>
      </c>
      <c r="DP2" t="str">
        <f>'Translate&amp;Prices&amp;Logo'!B551</f>
        <v>Hinges</v>
      </c>
      <c r="DQ2">
        <v>2</v>
      </c>
    </row>
    <row r="3" spans="1:121">
      <c r="A3" s="179" t="str">
        <f>'Translate&amp;Prices&amp;Logo'!B6</f>
        <v>BRW (elox.) - maximum profile length 2500 mm</v>
      </c>
      <c r="B3">
        <v>1</v>
      </c>
      <c r="C3" t="s">
        <v>1122</v>
      </c>
      <c r="D3">
        <v>1</v>
      </c>
      <c r="F3" t="s">
        <v>1883</v>
      </c>
      <c r="G3" t="s">
        <v>672</v>
      </c>
      <c r="H3" t="s">
        <v>1884</v>
      </c>
      <c r="I3">
        <v>1</v>
      </c>
      <c r="J3">
        <v>2</v>
      </c>
      <c r="K3" t="s">
        <v>1122</v>
      </c>
      <c r="M3" t="s">
        <v>1885</v>
      </c>
      <c r="N3" t="s">
        <v>947</v>
      </c>
      <c r="Q3" s="150" t="s">
        <v>1932</v>
      </c>
      <c r="R3" s="150" t="s">
        <v>1933</v>
      </c>
      <c r="S3" s="150" t="s">
        <v>1934</v>
      </c>
      <c r="T3" s="150" t="s">
        <v>1935</v>
      </c>
      <c r="U3" s="150" t="s">
        <v>1936</v>
      </c>
      <c r="V3" s="150" t="s">
        <v>1937</v>
      </c>
      <c r="X3" t="str">
        <f>'Translate&amp;Prices&amp;Logo'!$B$563</f>
        <v>Transparent</v>
      </c>
      <c r="Y3">
        <v>1</v>
      </c>
      <c r="AA3" t="s">
        <v>1887</v>
      </c>
      <c r="AB3" t="s">
        <v>1942</v>
      </c>
      <c r="AF3" s="143" t="s">
        <v>215</v>
      </c>
      <c r="AG3" s="143" t="s">
        <v>988</v>
      </c>
      <c r="AY3" t="s">
        <v>1917</v>
      </c>
      <c r="BK3" t="s">
        <v>215</v>
      </c>
      <c r="BQ3" t="s">
        <v>1917</v>
      </c>
      <c r="BR3" t="s">
        <v>1887</v>
      </c>
      <c r="BU3" t="e">
        <f>VLOOKUP(BU2,BV:BW,2,0)</f>
        <v>#N/A</v>
      </c>
      <c r="BV3" t="s">
        <v>1950</v>
      </c>
      <c r="BW3" t="s">
        <v>1946</v>
      </c>
      <c r="BY3" t="str">
        <f>'Translate&amp;Prices&amp;Logo'!B230</f>
        <v>Left</v>
      </c>
      <c r="BZ3">
        <v>1</v>
      </c>
      <c r="CA3">
        <v>32</v>
      </c>
      <c r="CD3" t="s">
        <v>2056</v>
      </c>
      <c r="CE3">
        <v>1</v>
      </c>
      <c r="CG3" s="143" t="s">
        <v>2056</v>
      </c>
      <c r="CH3" s="143" t="s">
        <v>2056</v>
      </c>
      <c r="CI3" s="146" t="s">
        <v>2057</v>
      </c>
      <c r="CJ3" s="146" t="s">
        <v>2057</v>
      </c>
      <c r="CK3" s="143" t="s">
        <v>1897</v>
      </c>
      <c r="CL3" s="143" t="s">
        <v>1897</v>
      </c>
      <c r="CM3" s="146" t="s">
        <v>1900</v>
      </c>
      <c r="CN3" s="146" t="s">
        <v>1900</v>
      </c>
      <c r="CO3" s="143" t="s">
        <v>1907</v>
      </c>
      <c r="CP3" s="143" t="s">
        <v>1907</v>
      </c>
      <c r="CQ3" s="146" t="s">
        <v>2058</v>
      </c>
      <c r="CR3" s="146" t="s">
        <v>2058</v>
      </c>
      <c r="CS3" s="143" t="s">
        <v>1902</v>
      </c>
      <c r="CT3" s="143" t="s">
        <v>1902</v>
      </c>
      <c r="CU3" s="146" t="s">
        <v>1908</v>
      </c>
      <c r="CV3" s="146" t="s">
        <v>1908</v>
      </c>
      <c r="CW3" s="143" t="s">
        <v>2053</v>
      </c>
      <c r="CX3" s="143" t="s">
        <v>2053</v>
      </c>
      <c r="CY3" s="146" t="s">
        <v>1911</v>
      </c>
      <c r="CZ3" s="146" t="s">
        <v>1911</v>
      </c>
      <c r="DA3" s="143" t="s">
        <v>2052</v>
      </c>
      <c r="DB3" s="143" t="s">
        <v>2052</v>
      </c>
      <c r="DC3" s="146" t="s">
        <v>1913</v>
      </c>
      <c r="DD3" s="146" t="s">
        <v>1913</v>
      </c>
      <c r="DE3" s="143" t="s">
        <v>1914</v>
      </c>
      <c r="DF3" s="143" t="s">
        <v>1914</v>
      </c>
      <c r="DG3" s="146" t="s">
        <v>2054</v>
      </c>
      <c r="DH3" s="146" t="s">
        <v>2054</v>
      </c>
      <c r="DI3" s="143" t="s">
        <v>2055</v>
      </c>
      <c r="DJ3" s="143" t="s">
        <v>2055</v>
      </c>
      <c r="DK3" s="146" t="s">
        <v>1918</v>
      </c>
      <c r="DL3" s="146" t="s">
        <v>1918</v>
      </c>
      <c r="DN3" t="str">
        <f>'Translate&amp;Prices&amp;Logo'!B554</f>
        <v>Half-overlay</v>
      </c>
      <c r="DP3" t="str">
        <f>'Translate&amp;Prices&amp;Logo'!B552</f>
        <v>Lifts</v>
      </c>
      <c r="DQ3">
        <v>3</v>
      </c>
    </row>
    <row r="4" spans="1:121">
      <c r="A4" s="179" t="str">
        <f>'Translate&amp;Prices&amp;Logo'!B7</f>
        <v>BRW anthracite RAL 7021 - maximum profile length 2500 mm</v>
      </c>
      <c r="B4">
        <v>1</v>
      </c>
      <c r="C4" t="s">
        <v>1122</v>
      </c>
      <c r="D4">
        <v>0</v>
      </c>
      <c r="G4" t="s">
        <v>1884</v>
      </c>
      <c r="H4" t="s">
        <v>672</v>
      </c>
      <c r="I4">
        <v>0</v>
      </c>
      <c r="J4">
        <v>2</v>
      </c>
      <c r="K4" t="s">
        <v>1122</v>
      </c>
      <c r="M4" t="s">
        <v>1888</v>
      </c>
      <c r="N4" t="s">
        <v>1488</v>
      </c>
      <c r="Q4" s="179" t="str">
        <f>'Translate&amp;Prices&amp;Logo'!$B$99</f>
        <v>Transparent</v>
      </c>
      <c r="R4" s="179" t="str">
        <f>'Translate&amp;Prices&amp;Logo'!$B$110</f>
        <v>Stopsol bronze  - maximum possible size 2250 x 1605 mm</v>
      </c>
      <c r="S4" s="179" t="str">
        <f>'Translate&amp;Prices&amp;Logo'!$B$99</f>
        <v>Transparent</v>
      </c>
      <c r="T4" s="179" t="str">
        <f>'Translate&amp;Prices&amp;Logo'!$B$110</f>
        <v>Stopsol bronze  - maximum possible size 2250 x 1605 mm</v>
      </c>
      <c r="U4" s="179" t="str">
        <f>'Translate&amp;Prices&amp;Logo'!$B$115</f>
        <v>Mirror</v>
      </c>
      <c r="V4" s="179" t="str">
        <f>'Translate&amp;Prices&amp;Logo'!$B$115</f>
        <v>Mirror</v>
      </c>
      <c r="X4" t="str">
        <f>'Translate&amp;Prices&amp;Logo'!$B$564</f>
        <v>White</v>
      </c>
      <c r="Y4">
        <v>2</v>
      </c>
      <c r="AA4" t="s">
        <v>1887</v>
      </c>
      <c r="AB4" t="s">
        <v>2056</v>
      </c>
      <c r="AC4">
        <v>1</v>
      </c>
      <c r="AD4">
        <v>1</v>
      </c>
      <c r="AF4" s="143" t="s">
        <v>216</v>
      </c>
      <c r="AG4" s="143" t="s">
        <v>988</v>
      </c>
      <c r="AY4" t="s">
        <v>1917</v>
      </c>
      <c r="AZ4" t="s">
        <v>1952</v>
      </c>
      <c r="BK4" t="s">
        <v>216</v>
      </c>
      <c r="BQ4" t="s">
        <v>1887</v>
      </c>
      <c r="BR4" t="s">
        <v>1899</v>
      </c>
      <c r="BV4" t="s">
        <v>1951</v>
      </c>
      <c r="BW4" t="s">
        <v>1945</v>
      </c>
      <c r="BY4" t="str">
        <f>'Translate&amp;Prices&amp;Logo'!B229</f>
        <v>Right</v>
      </c>
      <c r="BZ4">
        <v>2</v>
      </c>
      <c r="CA4">
        <v>64</v>
      </c>
      <c r="CD4" t="s">
        <v>2057</v>
      </c>
      <c r="CE4">
        <v>1</v>
      </c>
      <c r="CG4" t="str">
        <f>CONCATENATE("_",CG2,"_",CG3)</f>
        <v>_Úzký_Aventos_HF</v>
      </c>
      <c r="CH4" t="str">
        <f t="shared" ref="CH4:DL4" si="0">CONCATENATE("_",CH2,"_",CH3)</f>
        <v>_široký_Aventos_HF</v>
      </c>
      <c r="CI4" t="str">
        <f t="shared" si="0"/>
        <v>_Úzký_Aventos_HK-XS</v>
      </c>
      <c r="CJ4" t="str">
        <f t="shared" si="0"/>
        <v>_široký_Aventos_HK-XS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_Úzký_Automatická_vzpěra</v>
      </c>
      <c r="DH4" t="str">
        <f t="shared" si="0"/>
        <v>_široký_Automatická_vzpěra</v>
      </c>
      <c r="DI4" t="str">
        <f t="shared" si="0"/>
        <v>_Úzký_Polohovací_vzpěra</v>
      </c>
      <c r="DJ4" t="str">
        <f t="shared" si="0"/>
        <v>_široký_Polohovací_vzpěra</v>
      </c>
      <c r="DK4" t="str">
        <f t="shared" si="0"/>
        <v>_Úzký_LiftMini</v>
      </c>
      <c r="DL4" t="str">
        <f t="shared" si="0"/>
        <v>_široký_LiftMini</v>
      </c>
      <c r="DN4" t="str">
        <f>'Translate&amp;Prices&amp;Logo'!B555</f>
        <v>Inset</v>
      </c>
    </row>
    <row r="5" spans="1:121">
      <c r="A5" s="179" t="str">
        <f>'Translate&amp;Prices&amp;Logo'!B8</f>
        <v>BRW white matt RAL 9003 - maximum profile length 2500 mm</v>
      </c>
      <c r="B5">
        <v>1</v>
      </c>
      <c r="C5" t="s">
        <v>1122</v>
      </c>
      <c r="D5">
        <v>0</v>
      </c>
      <c r="F5" t="s">
        <v>1890</v>
      </c>
      <c r="G5" t="s">
        <v>671</v>
      </c>
      <c r="H5" t="s">
        <v>1884</v>
      </c>
      <c r="I5">
        <v>1</v>
      </c>
      <c r="J5">
        <v>2</v>
      </c>
      <c r="K5" t="s">
        <v>1122</v>
      </c>
      <c r="M5" t="s">
        <v>1891</v>
      </c>
      <c r="N5" t="s">
        <v>967</v>
      </c>
      <c r="Q5" s="179" t="str">
        <f>'Translate&amp;Prices&amp;Logo'!$B$104</f>
        <v>Satinato</v>
      </c>
      <c r="R5" s="179" t="str">
        <f>'Translate&amp;Prices&amp;Logo'!$B$111</f>
        <v>Lacomatt</v>
      </c>
      <c r="S5" s="179" t="str">
        <f>'Translate&amp;Prices&amp;Logo'!$B$104</f>
        <v>Satinato</v>
      </c>
      <c r="T5" s="179" t="str">
        <f>'Translate&amp;Prices&amp;Logo'!$B$121</f>
        <v>Master  Ligne horizontal</v>
      </c>
      <c r="U5" s="179" t="str">
        <f>'Translate&amp;Prices&amp;Logo'!$B$116</f>
        <v>Mirror brown</v>
      </c>
      <c r="V5" s="179" t="str">
        <f>'Translate&amp;Prices&amp;Logo'!$B$116</f>
        <v>Mirror brown</v>
      </c>
      <c r="X5" t="str">
        <f>'Translate&amp;Prices&amp;Logo'!$B$565</f>
        <v>Black</v>
      </c>
      <c r="Y5">
        <v>3</v>
      </c>
      <c r="AA5" t="s">
        <v>1887</v>
      </c>
      <c r="AB5" t="s">
        <v>2059</v>
      </c>
      <c r="AC5">
        <v>0</v>
      </c>
      <c r="AD5">
        <v>0</v>
      </c>
      <c r="AF5" s="146" t="s">
        <v>215</v>
      </c>
      <c r="AG5" s="146" t="s">
        <v>1893</v>
      </c>
      <c r="AY5" t="s">
        <v>1917</v>
      </c>
      <c r="AZ5" t="s">
        <v>1953</v>
      </c>
      <c r="BK5" t="s">
        <v>1894</v>
      </c>
      <c r="BQ5" t="s">
        <v>977</v>
      </c>
      <c r="BR5" t="s">
        <v>1909</v>
      </c>
      <c r="BV5" t="s">
        <v>1948</v>
      </c>
      <c r="BW5" t="s">
        <v>1943</v>
      </c>
      <c r="BY5" t="str">
        <f>'Translate&amp;Prices&amp;Logo'!B227</f>
        <v>Top</v>
      </c>
      <c r="BZ5">
        <v>3</v>
      </c>
      <c r="CA5">
        <v>76</v>
      </c>
      <c r="CD5" t="s">
        <v>1897</v>
      </c>
      <c r="CE5">
        <v>1</v>
      </c>
      <c r="CG5" t="s">
        <v>1975</v>
      </c>
      <c r="CH5" t="s">
        <v>1983</v>
      </c>
      <c r="CI5" t="s">
        <v>1990</v>
      </c>
      <c r="CJ5" t="s">
        <v>1995</v>
      </c>
      <c r="CK5" t="s">
        <v>1998</v>
      </c>
      <c r="CL5" t="s">
        <v>2008</v>
      </c>
      <c r="CM5" t="s">
        <v>1998</v>
      </c>
      <c r="CN5" t="s">
        <v>2008</v>
      </c>
      <c r="CO5" t="s">
        <v>1998</v>
      </c>
      <c r="CP5" t="s">
        <v>2008</v>
      </c>
      <c r="CQ5" t="s">
        <v>2019</v>
      </c>
      <c r="CR5" t="s">
        <v>2027</v>
      </c>
      <c r="CS5" t="s">
        <v>2019</v>
      </c>
      <c r="CT5" t="s">
        <v>2027</v>
      </c>
      <c r="CU5" t="s">
        <v>1998</v>
      </c>
      <c r="CV5" t="s">
        <v>2008</v>
      </c>
      <c r="CW5" t="s">
        <v>2019</v>
      </c>
      <c r="CX5" t="s">
        <v>2033</v>
      </c>
      <c r="CY5" t="s">
        <v>1998</v>
      </c>
      <c r="CZ5" t="s">
        <v>2008</v>
      </c>
      <c r="DA5" t="s">
        <v>2019</v>
      </c>
      <c r="DB5" t="s">
        <v>2033</v>
      </c>
      <c r="DC5" t="s">
        <v>2019</v>
      </c>
      <c r="DD5" t="s">
        <v>2033</v>
      </c>
      <c r="DE5" t="s">
        <v>2019</v>
      </c>
      <c r="DF5" t="s">
        <v>2033</v>
      </c>
      <c r="DG5" t="s">
        <v>1998</v>
      </c>
      <c r="DH5" t="s">
        <v>2008</v>
      </c>
      <c r="DI5" t="s">
        <v>1998</v>
      </c>
      <c r="DJ5" t="s">
        <v>2008</v>
      </c>
      <c r="DK5" t="s">
        <v>2019</v>
      </c>
      <c r="DL5" t="s">
        <v>2033</v>
      </c>
    </row>
    <row r="6" spans="1:121">
      <c r="A6" s="179" t="str">
        <f>'Translate&amp;Prices&amp;Logo'!B9</f>
        <v>BRW white gloss RAL 9003 - maximum profile length 2500 mm</v>
      </c>
      <c r="B6">
        <v>1</v>
      </c>
      <c r="C6" t="s">
        <v>1122</v>
      </c>
      <c r="D6">
        <v>0</v>
      </c>
      <c r="G6" t="s">
        <v>1884</v>
      </c>
      <c r="H6" t="s">
        <v>671</v>
      </c>
      <c r="I6">
        <v>0</v>
      </c>
      <c r="J6">
        <v>2</v>
      </c>
      <c r="K6" t="s">
        <v>1122</v>
      </c>
      <c r="N6" t="s">
        <v>1464</v>
      </c>
      <c r="Q6" s="179" t="str">
        <f>'Translate&amp;Prices&amp;Logo'!$B$106</f>
        <v>Satinato brown / Decormat Braz</v>
      </c>
      <c r="R6" s="179" t="str">
        <f>'Translate&amp;Prices&amp;Logo'!$B$115</f>
        <v>Mirror</v>
      </c>
      <c r="S6" s="179" t="str">
        <f>'Translate&amp;Prices&amp;Logo'!$B$106</f>
        <v>Satinato brown / Decormat Braz</v>
      </c>
      <c r="T6" s="179" t="str">
        <f>'Translate&amp;Prices&amp;Logo'!$B$122</f>
        <v>Master Point</v>
      </c>
      <c r="U6" s="179" t="str">
        <f>'Translate&amp;Prices&amp;Logo'!$B$117</f>
        <v>Mirror black</v>
      </c>
      <c r="V6" s="179" t="str">
        <f>'Translate&amp;Prices&amp;Logo'!$B$117</f>
        <v>Mirror black</v>
      </c>
      <c r="AA6" t="s">
        <v>1887</v>
      </c>
      <c r="AB6" t="s">
        <v>2060</v>
      </c>
      <c r="AC6">
        <v>0</v>
      </c>
      <c r="AD6">
        <v>0</v>
      </c>
      <c r="AF6" s="146" t="s">
        <v>216</v>
      </c>
      <c r="AG6" s="146" t="s">
        <v>1893</v>
      </c>
      <c r="AY6" t="s">
        <v>1917</v>
      </c>
      <c r="AZ6" t="s">
        <v>1954</v>
      </c>
      <c r="BK6" t="s">
        <v>1895</v>
      </c>
      <c r="BR6" t="s">
        <v>977</v>
      </c>
      <c r="BV6" t="s">
        <v>1949</v>
      </c>
      <c r="BW6" t="s">
        <v>1944</v>
      </c>
      <c r="BY6" t="str">
        <f>'Translate&amp;Prices&amp;Logo'!B228</f>
        <v>Bottom</v>
      </c>
      <c r="BZ6">
        <v>4</v>
      </c>
      <c r="CA6">
        <v>96</v>
      </c>
      <c r="CD6" t="s">
        <v>1900</v>
      </c>
      <c r="CE6">
        <v>1</v>
      </c>
      <c r="CK6" t="s">
        <v>1999</v>
      </c>
      <c r="CL6" t="s">
        <v>2009</v>
      </c>
      <c r="CM6" t="s">
        <v>1999</v>
      </c>
      <c r="CN6" t="s">
        <v>2009</v>
      </c>
      <c r="CO6" t="s">
        <v>1999</v>
      </c>
      <c r="CP6" t="s">
        <v>2009</v>
      </c>
      <c r="CQ6" t="s">
        <v>2020</v>
      </c>
      <c r="CR6" t="s">
        <v>2028</v>
      </c>
      <c r="CS6" t="s">
        <v>2020</v>
      </c>
      <c r="CT6" t="s">
        <v>2028</v>
      </c>
      <c r="CU6" t="s">
        <v>1999</v>
      </c>
      <c r="CV6" t="s">
        <v>2009</v>
      </c>
      <c r="CW6" t="s">
        <v>2021</v>
      </c>
      <c r="CX6" t="s">
        <v>2027</v>
      </c>
      <c r="CY6" t="s">
        <v>1999</v>
      </c>
      <c r="CZ6" t="s">
        <v>2009</v>
      </c>
      <c r="DA6" t="s">
        <v>2021</v>
      </c>
      <c r="DB6" t="s">
        <v>2027</v>
      </c>
      <c r="DC6" t="s">
        <v>2021</v>
      </c>
      <c r="DD6" t="s">
        <v>2027</v>
      </c>
      <c r="DE6" t="s">
        <v>2021</v>
      </c>
      <c r="DF6" t="s">
        <v>2027</v>
      </c>
      <c r="DG6" t="s">
        <v>1999</v>
      </c>
      <c r="DH6" t="s">
        <v>2009</v>
      </c>
      <c r="DI6" t="s">
        <v>1999</v>
      </c>
      <c r="DJ6" t="s">
        <v>2009</v>
      </c>
      <c r="DK6" t="s">
        <v>2021</v>
      </c>
      <c r="DL6" t="s">
        <v>2027</v>
      </c>
    </row>
    <row r="7" spans="1:121">
      <c r="A7" s="179" t="str">
        <f>'Translate&amp;Prices&amp;Logo'!B10</f>
        <v>BRW brown - maximum profile length 2500 mm</v>
      </c>
      <c r="B7">
        <v>1</v>
      </c>
      <c r="C7" t="s">
        <v>1122</v>
      </c>
      <c r="D7">
        <v>0</v>
      </c>
      <c r="F7" t="s">
        <v>1896</v>
      </c>
      <c r="G7" t="s">
        <v>673</v>
      </c>
      <c r="H7" t="s">
        <v>1884</v>
      </c>
      <c r="I7">
        <v>1</v>
      </c>
      <c r="J7">
        <v>2</v>
      </c>
      <c r="K7" t="s">
        <v>1122</v>
      </c>
      <c r="Q7" s="179" t="str">
        <f>'Translate&amp;Prices&amp;Logo'!$B$107</f>
        <v>Satinato graphite  / Decormat grafit</v>
      </c>
      <c r="R7" s="179" t="str">
        <f>'Translate&amp;Prices&amp;Logo'!$B$116</f>
        <v>Mirror brown</v>
      </c>
      <c r="S7" s="179" t="str">
        <f>'Translate&amp;Prices&amp;Logo'!$B$107</f>
        <v>Satinato graphite  / Decormat grafit</v>
      </c>
      <c r="T7" s="179">
        <f>'Translate&amp;Prices&amp;Logo'!$B$124</f>
        <v>0</v>
      </c>
      <c r="U7" s="179" t="str">
        <f>'Translate&amp;Prices&amp;Logo'!$B$126</f>
        <v>Lacobel RAL 1013</v>
      </c>
      <c r="V7" s="179" t="str">
        <f>'Translate&amp;Prices&amp;Logo'!$B$126</f>
        <v>Lacobel RAL 1013</v>
      </c>
      <c r="AA7" t="s">
        <v>1887</v>
      </c>
      <c r="AB7" t="s">
        <v>2061</v>
      </c>
      <c r="AC7">
        <v>1</v>
      </c>
      <c r="AD7">
        <v>0</v>
      </c>
      <c r="AF7" s="143" t="s">
        <v>215</v>
      </c>
      <c r="AG7" s="143" t="s">
        <v>1897</v>
      </c>
      <c r="AY7" t="s">
        <v>1917</v>
      </c>
      <c r="AZ7" t="s">
        <v>1955</v>
      </c>
      <c r="BK7" t="s">
        <v>1898</v>
      </c>
      <c r="BR7" t="s">
        <v>1917</v>
      </c>
      <c r="BV7" t="s">
        <v>1967</v>
      </c>
      <c r="BW7" t="s">
        <v>1970</v>
      </c>
      <c r="CA7">
        <v>128</v>
      </c>
      <c r="CD7" t="s">
        <v>1902</v>
      </c>
      <c r="CE7">
        <v>1</v>
      </c>
      <c r="CK7" t="s">
        <v>2000</v>
      </c>
      <c r="CL7" t="s">
        <v>2010</v>
      </c>
      <c r="CM7" t="s">
        <v>2000</v>
      </c>
      <c r="CN7" t="s">
        <v>2010</v>
      </c>
      <c r="CO7" t="s">
        <v>2000</v>
      </c>
      <c r="CP7" t="s">
        <v>2010</v>
      </c>
      <c r="CQ7" t="s">
        <v>2021</v>
      </c>
      <c r="CR7" t="s">
        <v>2029</v>
      </c>
      <c r="CS7" t="s">
        <v>2021</v>
      </c>
      <c r="CT7" t="s">
        <v>2029</v>
      </c>
      <c r="CU7" t="s">
        <v>2000</v>
      </c>
      <c r="CV7" t="s">
        <v>2010</v>
      </c>
      <c r="CW7" t="s">
        <v>2024</v>
      </c>
      <c r="CX7" t="s">
        <v>2029</v>
      </c>
      <c r="CY7" t="s">
        <v>2000</v>
      </c>
      <c r="CZ7" t="s">
        <v>2010</v>
      </c>
      <c r="DA7" t="s">
        <v>2024</v>
      </c>
      <c r="DB7" t="s">
        <v>2029</v>
      </c>
      <c r="DC7" t="s">
        <v>2024</v>
      </c>
      <c r="DD7" t="s">
        <v>2029</v>
      </c>
      <c r="DE7" t="s">
        <v>2024</v>
      </c>
      <c r="DF7" t="s">
        <v>2029</v>
      </c>
      <c r="DG7" t="s">
        <v>2000</v>
      </c>
      <c r="DH7" t="s">
        <v>2010</v>
      </c>
      <c r="DI7" t="s">
        <v>2000</v>
      </c>
      <c r="DJ7" t="s">
        <v>2010</v>
      </c>
      <c r="DK7" t="s">
        <v>2024</v>
      </c>
      <c r="DL7" t="s">
        <v>2029</v>
      </c>
      <c r="DN7" s="11" t="s">
        <v>98</v>
      </c>
      <c r="DO7" s="11" t="s">
        <v>98</v>
      </c>
    </row>
    <row r="8" spans="1:121">
      <c r="A8" s="179" t="str">
        <f>'Translate&amp;Prices&amp;Logo'!B11</f>
        <v>BRW brushed - maximum profile length 2500 mm</v>
      </c>
      <c r="B8">
        <v>1</v>
      </c>
      <c r="C8" t="s">
        <v>1122</v>
      </c>
      <c r="D8">
        <v>0</v>
      </c>
      <c r="G8" t="s">
        <v>1884</v>
      </c>
      <c r="H8" t="s">
        <v>673</v>
      </c>
      <c r="I8">
        <v>0</v>
      </c>
      <c r="J8">
        <v>2</v>
      </c>
      <c r="K8" t="s">
        <v>1122</v>
      </c>
      <c r="Q8" s="179" t="str">
        <f>'Translate&amp;Prices&amp;Logo'!$B$108</f>
        <v>Masterscreen - maximum possible size 2160 x 1650 mm</v>
      </c>
      <c r="R8" s="179" t="str">
        <f>'Translate&amp;Prices&amp;Logo'!$B$117</f>
        <v>Mirror black</v>
      </c>
      <c r="S8" s="179" t="str">
        <f>'Translate&amp;Prices&amp;Logo'!$B$108</f>
        <v>Masterscreen - maximum possible size 2160 x 1650 mm</v>
      </c>
      <c r="U8" s="179" t="e">
        <f>'Translate&amp;Prices&amp;Logo'!#REF!</f>
        <v>#REF!</v>
      </c>
      <c r="V8" s="179" t="e">
        <f>'Translate&amp;Prices&amp;Logo'!#REF!</f>
        <v>#REF!</v>
      </c>
      <c r="AA8" t="s">
        <v>1887</v>
      </c>
      <c r="AB8" t="s">
        <v>2062</v>
      </c>
      <c r="AC8">
        <v>0</v>
      </c>
      <c r="AD8">
        <v>0</v>
      </c>
      <c r="AF8" s="143" t="s">
        <v>216</v>
      </c>
      <c r="AG8" s="143" t="s">
        <v>1897</v>
      </c>
      <c r="AY8" t="s">
        <v>1917</v>
      </c>
      <c r="AZ8" t="s">
        <v>1956</v>
      </c>
      <c r="BV8" t="s">
        <v>1968</v>
      </c>
      <c r="BW8" t="s">
        <v>1971</v>
      </c>
      <c r="BY8">
        <v>2</v>
      </c>
      <c r="CA8">
        <v>160</v>
      </c>
      <c r="CD8" t="s">
        <v>2058</v>
      </c>
      <c r="CE8">
        <v>1</v>
      </c>
      <c r="CK8" t="s">
        <v>2001</v>
      </c>
      <c r="CL8" t="s">
        <v>2011</v>
      </c>
      <c r="CM8" t="s">
        <v>2001</v>
      </c>
      <c r="CN8" t="s">
        <v>2011</v>
      </c>
      <c r="CO8" t="s">
        <v>2001</v>
      </c>
      <c r="CP8" t="s">
        <v>2011</v>
      </c>
      <c r="CQ8" t="s">
        <v>2022</v>
      </c>
      <c r="CR8" t="s">
        <v>2030</v>
      </c>
      <c r="CS8" t="s">
        <v>2022</v>
      </c>
      <c r="CT8" t="s">
        <v>2030</v>
      </c>
      <c r="CU8" t="s">
        <v>2001</v>
      </c>
      <c r="CV8" t="s">
        <v>2011</v>
      </c>
      <c r="CX8" t="s">
        <v>2031</v>
      </c>
      <c r="CY8" t="s">
        <v>2001</v>
      </c>
      <c r="CZ8" t="s">
        <v>2011</v>
      </c>
      <c r="DB8" t="s">
        <v>2031</v>
      </c>
      <c r="DD8" t="s">
        <v>2031</v>
      </c>
      <c r="DF8" t="s">
        <v>2031</v>
      </c>
      <c r="DG8" t="s">
        <v>2001</v>
      </c>
      <c r="DH8" t="s">
        <v>2011</v>
      </c>
      <c r="DI8" t="s">
        <v>2001</v>
      </c>
      <c r="DJ8" t="s">
        <v>2011</v>
      </c>
      <c r="DL8" t="s">
        <v>2031</v>
      </c>
      <c r="DN8" s="11" t="s">
        <v>99</v>
      </c>
      <c r="DO8" s="11" t="s">
        <v>99</v>
      </c>
    </row>
    <row r="9" spans="1:121">
      <c r="A9" s="179" t="str">
        <f>'Translate&amp;Prices&amp;Logo'!B12</f>
        <v>BRW black matt - maximum profile length 2500 mm</v>
      </c>
      <c r="B9">
        <v>1</v>
      </c>
      <c r="C9" t="s">
        <v>1122</v>
      </c>
      <c r="D9">
        <v>1</v>
      </c>
      <c r="Q9" s="179" t="str">
        <f>'Translate&amp;Prices&amp;Logo'!$B$109</f>
        <v>Venus VG10</v>
      </c>
      <c r="R9" s="179" t="str">
        <f>'Translate&amp;Prices&amp;Logo'!$B$121</f>
        <v>Master  Ligne horizontal</v>
      </c>
      <c r="S9" s="179" t="str">
        <f>'Translate&amp;Prices&amp;Logo'!$B$109</f>
        <v>Venus VG10</v>
      </c>
      <c r="U9" s="179" t="str">
        <f>'Translate&amp;Prices&amp;Logo'!$B$127</f>
        <v>Lacobel RAL 1015</v>
      </c>
      <c r="V9" s="179" t="str">
        <f>'Translate&amp;Prices&amp;Logo'!$B$127</f>
        <v>Lacobel RAL 1015</v>
      </c>
      <c r="AB9" t="s">
        <v>2063</v>
      </c>
      <c r="AC9">
        <v>0</v>
      </c>
      <c r="AD9">
        <v>0</v>
      </c>
      <c r="AF9" s="146" t="s">
        <v>215</v>
      </c>
      <c r="AG9" s="146" t="s">
        <v>1900</v>
      </c>
      <c r="AY9" t="s">
        <v>1887</v>
      </c>
      <c r="BV9" t="s">
        <v>1969</v>
      </c>
      <c r="BW9" t="s">
        <v>1972</v>
      </c>
      <c r="BY9">
        <v>3</v>
      </c>
      <c r="CA9">
        <v>192</v>
      </c>
      <c r="CD9" t="s">
        <v>1907</v>
      </c>
      <c r="CE9">
        <v>1</v>
      </c>
      <c r="CK9" t="s">
        <v>2002</v>
      </c>
      <c r="CL9" t="s">
        <v>2012</v>
      </c>
      <c r="CM9" t="s">
        <v>2002</v>
      </c>
      <c r="CN9" t="s">
        <v>2012</v>
      </c>
      <c r="CO9" t="s">
        <v>2002</v>
      </c>
      <c r="CP9" t="s">
        <v>2012</v>
      </c>
      <c r="CQ9" t="s">
        <v>2023</v>
      </c>
      <c r="CR9" t="s">
        <v>2031</v>
      </c>
      <c r="CS9" t="s">
        <v>2023</v>
      </c>
      <c r="CT9" t="s">
        <v>2031</v>
      </c>
      <c r="CU9" t="s">
        <v>2002</v>
      </c>
      <c r="CV9" t="s">
        <v>2012</v>
      </c>
      <c r="CY9" t="s">
        <v>2002</v>
      </c>
      <c r="CZ9" t="s">
        <v>2012</v>
      </c>
      <c r="DG9" t="s">
        <v>2002</v>
      </c>
      <c r="DH9" t="s">
        <v>2012</v>
      </c>
      <c r="DI9" t="s">
        <v>2002</v>
      </c>
      <c r="DJ9" t="s">
        <v>2012</v>
      </c>
      <c r="DN9" s="11" t="s">
        <v>100</v>
      </c>
      <c r="DO9" s="11" t="s">
        <v>100</v>
      </c>
    </row>
    <row r="10" spans="1:121">
      <c r="A10" s="179" t="str">
        <f>'Translate&amp;Prices&amp;Logo'!B13</f>
        <v>BRW gold - maximum profile length 2500 mm</v>
      </c>
      <c r="B10">
        <v>1</v>
      </c>
      <c r="C10" t="s">
        <v>1122</v>
      </c>
      <c r="D10">
        <v>0</v>
      </c>
      <c r="Q10" s="179" t="str">
        <f>'Translate&amp;Prices&amp;Logo'!$B$110</f>
        <v>Stopsol bronze  - maximum possible size 2250 x 1605 mm</v>
      </c>
      <c r="R10" s="179" t="str">
        <f>'Translate&amp;Prices&amp;Logo'!$B$122</f>
        <v>Master Point</v>
      </c>
      <c r="S10" s="179" t="str">
        <f>'Translate&amp;Prices&amp;Logo'!$B$110</f>
        <v>Stopsol bronze  - maximum possible size 2250 x 1605 mm</v>
      </c>
      <c r="U10" s="179" t="str">
        <f>'Translate&amp;Prices&amp;Logo'!$B$128</f>
        <v>FLUTES vertical</v>
      </c>
      <c r="V10" s="179" t="str">
        <f>'Translate&amp;Prices&amp;Logo'!$B$128</f>
        <v>FLUTES vertical</v>
      </c>
      <c r="AF10" s="146" t="s">
        <v>216</v>
      </c>
      <c r="AG10" s="146" t="s">
        <v>1900</v>
      </c>
      <c r="AY10" t="s">
        <v>1887</v>
      </c>
      <c r="AZ10" t="s">
        <v>1957</v>
      </c>
      <c r="CA10">
        <v>224</v>
      </c>
      <c r="CD10" t="s">
        <v>1908</v>
      </c>
      <c r="CE10">
        <v>1</v>
      </c>
      <c r="CK10" t="s">
        <v>2003</v>
      </c>
      <c r="CL10" t="s">
        <v>2013</v>
      </c>
      <c r="CM10" t="s">
        <v>2003</v>
      </c>
      <c r="CN10" t="s">
        <v>2013</v>
      </c>
      <c r="CO10" t="s">
        <v>2003</v>
      </c>
      <c r="CP10" t="s">
        <v>2013</v>
      </c>
      <c r="CQ10" t="s">
        <v>2024</v>
      </c>
      <c r="CR10" t="s">
        <v>2032</v>
      </c>
      <c r="CS10" t="s">
        <v>2024</v>
      </c>
      <c r="CT10" t="s">
        <v>2032</v>
      </c>
      <c r="CU10" t="s">
        <v>2003</v>
      </c>
      <c r="CV10" t="s">
        <v>2013</v>
      </c>
      <c r="CY10" t="s">
        <v>2003</v>
      </c>
      <c r="CZ10" t="s">
        <v>2013</v>
      </c>
      <c r="DG10" t="s">
        <v>2003</v>
      </c>
      <c r="DH10" t="s">
        <v>2013</v>
      </c>
      <c r="DI10" t="s">
        <v>2003</v>
      </c>
      <c r="DJ10" t="s">
        <v>2013</v>
      </c>
      <c r="DN10" t="s">
        <v>98</v>
      </c>
      <c r="DO10" s="11" t="s">
        <v>98</v>
      </c>
    </row>
    <row r="11" spans="1:121">
      <c r="A11" s="179" t="str">
        <f>'Translate&amp;Prices&amp;Logo'!B14</f>
        <v>BRW black brushed - maximum profile length 2500 mm</v>
      </c>
      <c r="B11">
        <v>1</v>
      </c>
      <c r="C11" t="s">
        <v>1122</v>
      </c>
      <c r="D11">
        <v>0</v>
      </c>
      <c r="Q11" s="179" t="str">
        <f>'Translate&amp;Prices&amp;Logo'!$B$111</f>
        <v>Lacomatt</v>
      </c>
      <c r="R11" s="179">
        <f>'Translate&amp;Prices&amp;Logo'!$B$124</f>
        <v>0</v>
      </c>
      <c r="S11" s="179" t="str">
        <f>'Translate&amp;Prices&amp;Logo'!$B$113</f>
        <v>Antisol bronze</v>
      </c>
      <c r="U11" s="179" t="str">
        <f>'Translate&amp;Prices&amp;Logo'!$B$129</f>
        <v>VISIOSUN vertical</v>
      </c>
      <c r="V11" s="179" t="str">
        <f>'Translate&amp;Prices&amp;Logo'!$B$129</f>
        <v>VISIOSUN vertical</v>
      </c>
      <c r="AF11" s="143" t="s">
        <v>215</v>
      </c>
      <c r="AG11" s="143" t="s">
        <v>1902</v>
      </c>
      <c r="AY11" t="s">
        <v>1887</v>
      </c>
      <c r="AZ11" t="s">
        <v>1958</v>
      </c>
      <c r="CA11">
        <v>240</v>
      </c>
      <c r="CD11" t="s">
        <v>2053</v>
      </c>
      <c r="CE11">
        <v>1</v>
      </c>
      <c r="CK11" t="s">
        <v>2004</v>
      </c>
      <c r="CM11" t="s">
        <v>2004</v>
      </c>
      <c r="CO11" t="s">
        <v>2004</v>
      </c>
      <c r="CQ11" t="s">
        <v>2025</v>
      </c>
      <c r="CS11" t="s">
        <v>2025</v>
      </c>
      <c r="CU11" t="s">
        <v>2004</v>
      </c>
      <c r="CY11" t="s">
        <v>2004</v>
      </c>
      <c r="DG11" t="s">
        <v>2004</v>
      </c>
      <c r="DI11" t="s">
        <v>2004</v>
      </c>
      <c r="DN11" t="s">
        <v>99</v>
      </c>
      <c r="DO11" s="11" t="s">
        <v>99</v>
      </c>
    </row>
    <row r="12" spans="1:121">
      <c r="A12" s="179" t="str">
        <f>'Translate&amp;Prices&amp;Logo'!B15</f>
        <v>BRW Light Stainless Steel (ACIER GRATA) - maximum profile length 2500 mm</v>
      </c>
      <c r="B12">
        <v>1</v>
      </c>
      <c r="C12" t="s">
        <v>1122</v>
      </c>
      <c r="D12">
        <v>0</v>
      </c>
      <c r="Q12" s="179" t="str">
        <f>'Translate&amp;Prices&amp;Logo'!$B$112</f>
        <v>MASTER FLEX</v>
      </c>
      <c r="R12" s="179" t="str">
        <f>'Translate&amp;Prices&amp;Logo'!$B$126</f>
        <v>Lacobel RAL 1013</v>
      </c>
      <c r="S12" s="179" t="str">
        <f>'Translate&amp;Prices&amp;Logo'!$B$114</f>
        <v>Antisol graphite</v>
      </c>
      <c r="U12" s="179" t="str">
        <f>'Translate&amp;Prices&amp;Logo'!$B$131</f>
        <v>VISIOSUN sateen horizont</v>
      </c>
      <c r="V12" s="179" t="str">
        <f>'Translate&amp;Prices&amp;Logo'!$B$131</f>
        <v>VISIOSUN sateen horizont</v>
      </c>
      <c r="AF12" s="143" t="s">
        <v>216</v>
      </c>
      <c r="AG12" s="143" t="s">
        <v>1902</v>
      </c>
      <c r="AY12" t="s">
        <v>1887</v>
      </c>
      <c r="AZ12" t="s">
        <v>1959</v>
      </c>
      <c r="CA12">
        <v>256</v>
      </c>
      <c r="CD12" t="s">
        <v>1911</v>
      </c>
      <c r="CE12">
        <v>1</v>
      </c>
      <c r="CK12" t="s">
        <v>2005</v>
      </c>
      <c r="CM12" t="s">
        <v>2005</v>
      </c>
      <c r="CO12" t="s">
        <v>2005</v>
      </c>
      <c r="CQ12" t="s">
        <v>2026</v>
      </c>
      <c r="CS12" t="s">
        <v>2026</v>
      </c>
      <c r="CU12" t="s">
        <v>2005</v>
      </c>
      <c r="CY12" t="s">
        <v>2005</v>
      </c>
      <c r="DG12" t="s">
        <v>2005</v>
      </c>
      <c r="DI12" t="s">
        <v>2005</v>
      </c>
      <c r="DN12" t="s">
        <v>100</v>
      </c>
      <c r="DO12" s="11" t="s">
        <v>100</v>
      </c>
    </row>
    <row r="13" spans="1:121">
      <c r="A13" s="179" t="e">
        <f>'Translate&amp;Prices&amp;Logo'!#REF!</f>
        <v>#REF!</v>
      </c>
      <c r="B13">
        <v>1</v>
      </c>
      <c r="C13" t="s">
        <v>1122</v>
      </c>
      <c r="D13">
        <v>0</v>
      </c>
      <c r="Q13" s="179" t="str">
        <f>'Translate&amp;Prices&amp;Logo'!$B$113</f>
        <v>Antisol bronze</v>
      </c>
      <c r="R13" s="179" t="e">
        <f>'Translate&amp;Prices&amp;Logo'!#REF!</f>
        <v>#REF!</v>
      </c>
      <c r="S13" s="179" t="str">
        <f>'Translate&amp;Prices&amp;Logo'!$B$119</f>
        <v>Krizet  - maximum possible size 2130 x 1650 mm</v>
      </c>
      <c r="U13" s="179">
        <f>'Translate&amp;Prices&amp;Logo'!$B$132</f>
        <v>0</v>
      </c>
      <c r="V13" s="179">
        <f>'Translate&amp;Prices&amp;Logo'!$B$132</f>
        <v>0</v>
      </c>
      <c r="AF13" s="146" t="s">
        <v>215</v>
      </c>
      <c r="AG13" s="146" t="s">
        <v>1905</v>
      </c>
      <c r="AY13" t="s">
        <v>1887</v>
      </c>
      <c r="AZ13" t="s">
        <v>1960</v>
      </c>
      <c r="BY13" t="str">
        <f>'Translate&amp;Prices&amp;Logo'!B557</f>
        <v>No</v>
      </c>
      <c r="BZ13">
        <v>0</v>
      </c>
      <c r="CA13">
        <v>288</v>
      </c>
      <c r="CD13" t="s">
        <v>2052</v>
      </c>
      <c r="CE13">
        <v>1</v>
      </c>
      <c r="DN13" t="s">
        <v>452</v>
      </c>
      <c r="DO13" s="11" t="s">
        <v>98</v>
      </c>
    </row>
    <row r="14" spans="1:121">
      <c r="A14" s="179" t="str">
        <f>'Translate&amp;Prices&amp;Logo'!B16</f>
        <v>BRW dark stainless steel - maximum profile length 2500 mm</v>
      </c>
      <c r="B14">
        <v>1</v>
      </c>
      <c r="C14" t="s">
        <v>1122</v>
      </c>
      <c r="D14">
        <v>0</v>
      </c>
      <c r="F14" t="e">
        <f>'Translate&amp;Prices&amp;Logo'!#REF!</f>
        <v>#REF!</v>
      </c>
      <c r="Q14" s="179" t="str">
        <f>'Translate&amp;Prices&amp;Logo'!$B$114</f>
        <v>Antisol graphite</v>
      </c>
      <c r="R14" s="179" t="str">
        <f>'Translate&amp;Prices&amp;Logo'!$B$127</f>
        <v>Lacobel RAL 1015</v>
      </c>
      <c r="S14" s="179" t="str">
        <f>'Translate&amp;Prices&amp;Logo'!$B$120</f>
        <v>Master (Carre)</v>
      </c>
      <c r="U14" s="179" t="str">
        <f>'Translate&amp;Prices&amp;Logo'!$B$133</f>
        <v>Lacobel RAL 7035</v>
      </c>
      <c r="V14" s="179" t="str">
        <f>'Translate&amp;Prices&amp;Logo'!$B$133</f>
        <v>Lacobel RAL 7035</v>
      </c>
      <c r="AA14" t="s">
        <v>1899</v>
      </c>
      <c r="AB14" t="s">
        <v>1946</v>
      </c>
      <c r="AF14" s="146" t="s">
        <v>216</v>
      </c>
      <c r="AG14" s="146" t="s">
        <v>1905</v>
      </c>
      <c r="AY14" t="s">
        <v>1887</v>
      </c>
      <c r="AZ14" t="s">
        <v>1961</v>
      </c>
      <c r="BY14" t="str">
        <f>'Translate&amp;Prices&amp;Logo'!B558</f>
        <v>Horizontal (delivery is 4 weeks)</v>
      </c>
      <c r="BZ14">
        <v>1</v>
      </c>
      <c r="CA14">
        <v>320</v>
      </c>
      <c r="CD14" t="s">
        <v>1913</v>
      </c>
      <c r="CE14">
        <v>1</v>
      </c>
      <c r="DN14" t="s">
        <v>453</v>
      </c>
      <c r="DO14" s="11" t="s">
        <v>99</v>
      </c>
    </row>
    <row r="15" spans="1:121">
      <c r="A15" s="179" t="str">
        <f>'Translate&amp;Prices&amp;Logo'!B17</f>
        <v>Corleone (elox.) - maximum profile length 1500 mm</v>
      </c>
      <c r="B15">
        <v>2</v>
      </c>
      <c r="C15" t="s">
        <v>1122</v>
      </c>
      <c r="D15">
        <v>0</v>
      </c>
      <c r="F15">
        <f>'Translate&amp;Prices&amp;Logo'!B77</f>
        <v>0</v>
      </c>
      <c r="Q15" s="179" t="str">
        <f>'Translate&amp;Prices&amp;Logo'!$B$115</f>
        <v>Mirror</v>
      </c>
      <c r="R15" s="179" t="str">
        <f>'Translate&amp;Prices&amp;Logo'!$B$128</f>
        <v>FLUTES vertical</v>
      </c>
      <c r="S15" s="179" t="e">
        <f>'Translate&amp;Prices&amp;Logo'!#REF!</f>
        <v>#REF!</v>
      </c>
      <c r="U15" s="179">
        <f>'Translate&amp;Prices&amp;Logo'!$B$134</f>
        <v>0</v>
      </c>
      <c r="V15" s="179">
        <f>'Translate&amp;Prices&amp;Logo'!$B$134</f>
        <v>0</v>
      </c>
      <c r="AA15" t="s">
        <v>1899</v>
      </c>
      <c r="AB15" t="s">
        <v>1897</v>
      </c>
      <c r="AC15">
        <v>1</v>
      </c>
      <c r="AD15">
        <v>0</v>
      </c>
      <c r="AF15" s="143" t="s">
        <v>215</v>
      </c>
      <c r="AG15" s="143" t="s">
        <v>1907</v>
      </c>
      <c r="AY15" t="s">
        <v>977</v>
      </c>
      <c r="BY15" t="str">
        <f>'Translate&amp;Prices&amp;Logo'!B559</f>
        <v>Vertical (delivery is 4 weeks)</v>
      </c>
      <c r="BZ15">
        <v>2</v>
      </c>
      <c r="CD15" t="s">
        <v>1914</v>
      </c>
      <c r="CE15">
        <v>1</v>
      </c>
      <c r="DN15" t="s">
        <v>2101</v>
      </c>
      <c r="DO15" s="11" t="s">
        <v>100</v>
      </c>
    </row>
    <row r="16" spans="1:121">
      <c r="A16" s="179" t="str">
        <f>'Translate&amp;Prices&amp;Logo'!B18</f>
        <v>Corleone black matt - maximum profile length 1500 mm</v>
      </c>
      <c r="B16">
        <v>2</v>
      </c>
      <c r="C16" t="s">
        <v>1122</v>
      </c>
      <c r="D16">
        <v>0</v>
      </c>
      <c r="F16" t="e">
        <f>'Translate&amp;Prices&amp;Logo'!#REF!</f>
        <v>#REF!</v>
      </c>
      <c r="Q16" s="179" t="str">
        <f>'Translate&amp;Prices&amp;Logo'!$B$116</f>
        <v>Mirror brown</v>
      </c>
      <c r="R16" s="179" t="str">
        <f>'Translate&amp;Prices&amp;Logo'!$B$129</f>
        <v>VISIOSUN vertical</v>
      </c>
      <c r="S16" s="179" t="str">
        <f>'Translate&amp;Prices&amp;Logo'!$B$121</f>
        <v>Master  Ligne horizontal</v>
      </c>
      <c r="U16" s="179" t="str">
        <f>'Translate&amp;Prices&amp;Logo'!$B$135</f>
        <v>Lacobel RAL 9003</v>
      </c>
      <c r="V16" s="179" t="str">
        <f>'Translate&amp;Prices&amp;Logo'!$B$135</f>
        <v>Lacobel RAL 9003</v>
      </c>
      <c r="AA16" t="s">
        <v>1899</v>
      </c>
      <c r="AB16" t="s">
        <v>1900</v>
      </c>
      <c r="AC16">
        <v>1</v>
      </c>
      <c r="AD16">
        <v>1</v>
      </c>
      <c r="AF16" s="143" t="s">
        <v>216</v>
      </c>
      <c r="AG16" s="143" t="s">
        <v>1907</v>
      </c>
      <c r="AY16" t="s">
        <v>977</v>
      </c>
      <c r="AZ16" t="s">
        <v>1962</v>
      </c>
      <c r="BY16" t="str">
        <f>'Translate&amp;Prices&amp;Logo'!B560</f>
        <v>Horizontal and vertical (delivery is 4 weeks)</v>
      </c>
      <c r="BZ16">
        <v>3</v>
      </c>
      <c r="CD16" t="s">
        <v>2054</v>
      </c>
      <c r="CE16">
        <v>1</v>
      </c>
      <c r="DN16" t="s">
        <v>528</v>
      </c>
      <c r="DO16" s="11" t="s">
        <v>98</v>
      </c>
    </row>
    <row r="17" spans="1:119">
      <c r="A17" s="179" t="e">
        <f>'Translate&amp;Prices&amp;Logo'!#REF!</f>
        <v>#REF!</v>
      </c>
      <c r="B17">
        <v>2</v>
      </c>
      <c r="C17" t="s">
        <v>1122</v>
      </c>
      <c r="D17">
        <v>0</v>
      </c>
      <c r="F17">
        <f>'Translate&amp;Prices&amp;Logo'!B79</f>
        <v>0</v>
      </c>
      <c r="Q17" s="179" t="str">
        <f>'Translate&amp;Prices&amp;Logo'!$B$117</f>
        <v>Mirror black</v>
      </c>
      <c r="R17" s="179" t="str">
        <f>'Translate&amp;Prices&amp;Logo'!$B$131</f>
        <v>VISIOSUN sateen horizont</v>
      </c>
      <c r="S17" s="179" t="str">
        <f>'Translate&amp;Prices&amp;Logo'!$B$122</f>
        <v>Master Point</v>
      </c>
      <c r="U17" s="179" t="str">
        <f>'Translate&amp;Prices&amp;Logo'!$B$136</f>
        <v>Lacobel RAL 9005</v>
      </c>
      <c r="V17" s="179" t="str">
        <f>'Translate&amp;Prices&amp;Logo'!$B$136</f>
        <v>Lacobel RAL 9005</v>
      </c>
      <c r="AA17" t="s">
        <v>1899</v>
      </c>
      <c r="AB17" t="s">
        <v>1901</v>
      </c>
      <c r="AC17">
        <v>0</v>
      </c>
      <c r="AD17">
        <v>0</v>
      </c>
      <c r="AF17" s="146" t="s">
        <v>215</v>
      </c>
      <c r="AG17" s="146" t="s">
        <v>1908</v>
      </c>
      <c r="AY17" t="s">
        <v>977</v>
      </c>
      <c r="AZ17" t="s">
        <v>1963</v>
      </c>
      <c r="CD17" t="s">
        <v>2055</v>
      </c>
      <c r="CE17">
        <v>1</v>
      </c>
      <c r="DN17" t="s">
        <v>529</v>
      </c>
      <c r="DO17" s="11" t="s">
        <v>99</v>
      </c>
    </row>
    <row r="18" spans="1:119">
      <c r="A18" s="179" t="str">
        <f>'Translate&amp;Prices&amp;Logo'!B19</f>
        <v>Imola (elox.) - maximum profile length 2500 mm</v>
      </c>
      <c r="B18">
        <v>2</v>
      </c>
      <c r="C18" t="s">
        <v>1931</v>
      </c>
      <c r="D18">
        <v>0</v>
      </c>
      <c r="F18">
        <f>'Translate&amp;Prices&amp;Logo'!B83</f>
        <v>0</v>
      </c>
      <c r="Q18" s="179" t="str">
        <f>'Translate&amp;Prices&amp;Logo'!$B$119</f>
        <v>Krizet  - maximum possible size 2130 x 1650 mm</v>
      </c>
      <c r="R18" s="179">
        <f>'Translate&amp;Prices&amp;Logo'!$B$132</f>
        <v>0</v>
      </c>
      <c r="S18" s="179" t="str">
        <f>'Translate&amp;Prices&amp;Logo'!$B$123</f>
        <v>FLUTES horizont</v>
      </c>
      <c r="U18" s="179" t="str">
        <f>'Translate&amp;Prices&amp;Logo'!$B$137</f>
        <v>Lacobel RAL 9006</v>
      </c>
      <c r="V18" s="179" t="str">
        <f>'Translate&amp;Prices&amp;Logo'!$B$137</f>
        <v>Lacobel RAL 9006</v>
      </c>
      <c r="AA18" t="s">
        <v>1899</v>
      </c>
      <c r="AB18" t="s">
        <v>1903</v>
      </c>
      <c r="AC18">
        <v>0</v>
      </c>
      <c r="AD18">
        <v>0</v>
      </c>
      <c r="AF18" s="146" t="s">
        <v>216</v>
      </c>
      <c r="AG18" s="146" t="s">
        <v>1908</v>
      </c>
      <c r="AY18" t="s">
        <v>977</v>
      </c>
      <c r="AZ18" t="s">
        <v>1964</v>
      </c>
      <c r="BY18">
        <v>1</v>
      </c>
      <c r="CD18" t="s">
        <v>1918</v>
      </c>
      <c r="CE18">
        <v>1</v>
      </c>
      <c r="DN18" t="s">
        <v>530</v>
      </c>
      <c r="DO18" s="11" t="s">
        <v>100</v>
      </c>
    </row>
    <row r="19" spans="1:119">
      <c r="A19" s="179" t="str">
        <f>'Translate&amp;Prices&amp;Logo'!B20</f>
        <v>Imola black matt - maximum profile length 2500 mm</v>
      </c>
      <c r="B19">
        <v>2</v>
      </c>
      <c r="C19" t="s">
        <v>1931</v>
      </c>
      <c r="D19">
        <v>0</v>
      </c>
      <c r="F19" t="str">
        <f>'Translate&amp;Prices&amp;Logo'!B80</f>
        <v>Rocca elox (Left and Right) + Varna elox (Top and Bottom)</v>
      </c>
      <c r="Q19" s="179" t="str">
        <f>'Translate&amp;Prices&amp;Logo'!$B$120</f>
        <v>Master (Carre)</v>
      </c>
      <c r="R19" s="179" t="str">
        <f>'Translate&amp;Prices&amp;Logo'!$B$133</f>
        <v>Lacobel RAL 7035</v>
      </c>
      <c r="S19" s="179">
        <f>'Translate&amp;Prices&amp;Logo'!$B$124</f>
        <v>0</v>
      </c>
      <c r="U19" s="179" t="str">
        <f>'Translate&amp;Prices&amp;Logo'!$B$138</f>
        <v>Lacobel RAL 9007</v>
      </c>
      <c r="V19" s="179" t="str">
        <f>'Translate&amp;Prices&amp;Logo'!$B$138</f>
        <v>Lacobel RAL 9007</v>
      </c>
      <c r="AA19" t="s">
        <v>1899</v>
      </c>
      <c r="AB19" t="s">
        <v>1904</v>
      </c>
      <c r="AC19">
        <v>0</v>
      </c>
      <c r="AD19">
        <v>0</v>
      </c>
      <c r="AF19" s="143" t="s">
        <v>215</v>
      </c>
      <c r="AG19" s="143" t="s">
        <v>1910</v>
      </c>
      <c r="AY19" t="s">
        <v>977</v>
      </c>
      <c r="AZ19" t="s">
        <v>1965</v>
      </c>
      <c r="BY19">
        <v>2</v>
      </c>
    </row>
    <row r="20" spans="1:119">
      <c r="A20" s="179" t="str">
        <f>'Translate&amp;Prices&amp;Logo'!B21</f>
        <v>Imola white matt RAL 9003 - maximum profile length 2500 mm</v>
      </c>
      <c r="B20">
        <v>2</v>
      </c>
      <c r="C20" t="s">
        <v>1931</v>
      </c>
      <c r="D20">
        <v>0</v>
      </c>
      <c r="Q20" s="179" t="e">
        <f>'Translate&amp;Prices&amp;Logo'!#REF!</f>
        <v>#REF!</v>
      </c>
      <c r="R20" s="179">
        <f>'Translate&amp;Prices&amp;Logo'!$B$134</f>
        <v>0</v>
      </c>
      <c r="U20" s="179" t="str">
        <f>'Translate&amp;Prices&amp;Logo'!$B$139</f>
        <v>Lacobel RAL 9010</v>
      </c>
      <c r="V20" s="179" t="str">
        <f>'Translate&amp;Prices&amp;Logo'!$B$139</f>
        <v>Lacobel RAL 9010</v>
      </c>
      <c r="AA20" t="s">
        <v>1899</v>
      </c>
      <c r="AB20" t="s">
        <v>1906</v>
      </c>
      <c r="AC20">
        <v>0</v>
      </c>
      <c r="AD20">
        <v>0</v>
      </c>
      <c r="AF20" s="143" t="s">
        <v>216</v>
      </c>
      <c r="AG20" s="143" t="s">
        <v>1910</v>
      </c>
      <c r="AY20" t="s">
        <v>977</v>
      </c>
      <c r="AZ20" t="s">
        <v>1966</v>
      </c>
      <c r="BY20">
        <v>3</v>
      </c>
    </row>
    <row r="21" spans="1:119">
      <c r="A21" s="179" t="str">
        <f>'Translate&amp;Prices&amp;Logo'!B22</f>
        <v>Modena (elox.) - maximum profile length 2500 mm</v>
      </c>
      <c r="B21">
        <v>2</v>
      </c>
      <c r="C21" t="s">
        <v>1122</v>
      </c>
      <c r="D21">
        <v>0</v>
      </c>
      <c r="Q21" s="179" t="str">
        <f>'Translate&amp;Prices&amp;Logo'!$B$121</f>
        <v>Master  Ligne horizontal</v>
      </c>
      <c r="R21" s="179" t="str">
        <f>'Translate&amp;Prices&amp;Logo'!$B$135</f>
        <v>Lacobel RAL 9003</v>
      </c>
      <c r="U21" s="179" t="str">
        <f>'Translate&amp;Prices&amp;Logo'!$B$140</f>
        <v>Moru brown vertical</v>
      </c>
      <c r="V21" s="179" t="str">
        <f>'Translate&amp;Prices&amp;Logo'!$B$140</f>
        <v>Moru brown vertical</v>
      </c>
      <c r="AA21" t="s">
        <v>1899</v>
      </c>
      <c r="AB21" t="s">
        <v>1902</v>
      </c>
      <c r="AC21">
        <v>1</v>
      </c>
      <c r="AD21">
        <v>0</v>
      </c>
      <c r="AF21" s="146" t="s">
        <v>215</v>
      </c>
      <c r="AG21" s="146" t="s">
        <v>1911</v>
      </c>
      <c r="BY21">
        <v>4</v>
      </c>
    </row>
    <row r="22" spans="1:119">
      <c r="A22" s="179" t="str">
        <f>'Translate&amp;Prices&amp;Logo'!B23</f>
        <v>Modena black matt - maximum profile length 2500 mm</v>
      </c>
      <c r="B22">
        <v>2</v>
      </c>
      <c r="C22" t="s">
        <v>1122</v>
      </c>
      <c r="D22">
        <v>0</v>
      </c>
      <c r="Q22" s="179" t="str">
        <f>'Translate&amp;Prices&amp;Logo'!$B$122</f>
        <v>Master Point</v>
      </c>
      <c r="R22" s="179" t="str">
        <f>'Translate&amp;Prices&amp;Logo'!$B$136</f>
        <v>Lacobel RAL 9005</v>
      </c>
      <c r="U22" s="179" t="str">
        <f>'Translate&amp;Prices&amp;Logo'!$B$141</f>
        <v xml:space="preserve">Moru graphite vertical </v>
      </c>
      <c r="V22" s="179" t="str">
        <f>'Translate&amp;Prices&amp;Logo'!$B$141</f>
        <v xml:space="preserve">Moru graphite vertical </v>
      </c>
      <c r="AA22" t="s">
        <v>1899</v>
      </c>
      <c r="AB22" t="s">
        <v>2058</v>
      </c>
      <c r="AC22">
        <v>1</v>
      </c>
      <c r="AD22">
        <v>0</v>
      </c>
      <c r="AF22" s="146" t="s">
        <v>216</v>
      </c>
      <c r="AG22" s="146" t="s">
        <v>1911</v>
      </c>
      <c r="BY22">
        <v>5</v>
      </c>
    </row>
    <row r="23" spans="1:119">
      <c r="A23" s="179" t="str">
        <f>'Translate&amp;Prices&amp;Logo'!B24</f>
        <v>Verona gold - maximum profile length 2150 mm</v>
      </c>
      <c r="B23">
        <v>2</v>
      </c>
      <c r="C23" t="s">
        <v>1122</v>
      </c>
      <c r="D23">
        <v>0</v>
      </c>
      <c r="G23" s="783"/>
      <c r="H23" s="783"/>
      <c r="I23" s="783"/>
      <c r="Q23" s="179" t="str">
        <f>'Translate&amp;Prices&amp;Logo'!$B$123</f>
        <v>FLUTES horizont</v>
      </c>
      <c r="R23" s="179" t="str">
        <f>'Translate&amp;Prices&amp;Logo'!$B$137</f>
        <v>Lacobel RAL 9006</v>
      </c>
      <c r="U23" s="179">
        <f>'Translate&amp;Prices&amp;Logo'!$B$142</f>
        <v>0</v>
      </c>
      <c r="V23" s="179">
        <f>'Translate&amp;Prices&amp;Logo'!$B$142</f>
        <v>0</v>
      </c>
      <c r="AA23" t="s">
        <v>1899</v>
      </c>
      <c r="AB23" t="s">
        <v>1907</v>
      </c>
      <c r="AC23">
        <v>1</v>
      </c>
      <c r="AD23">
        <v>0</v>
      </c>
      <c r="AF23" s="143" t="s">
        <v>215</v>
      </c>
      <c r="AG23" s="143" t="s">
        <v>1912</v>
      </c>
      <c r="BY23">
        <v>6</v>
      </c>
    </row>
    <row r="24" spans="1:119">
      <c r="A24" s="179" t="str">
        <f>'Translate&amp;Prices&amp;Logo'!B25</f>
        <v>black black brushed - maximum profile length 2500 mm</v>
      </c>
      <c r="B24">
        <v>2</v>
      </c>
      <c r="C24" t="s">
        <v>1122</v>
      </c>
      <c r="D24">
        <v>0</v>
      </c>
      <c r="G24" s="783"/>
      <c r="H24" s="783"/>
      <c r="I24" s="783"/>
      <c r="Q24" s="179">
        <f>'Translate&amp;Prices&amp;Logo'!$B$124</f>
        <v>0</v>
      </c>
      <c r="R24" s="179" t="str">
        <f>'Translate&amp;Prices&amp;Logo'!$B$138</f>
        <v>Lacobel RAL 9007</v>
      </c>
      <c r="U24" s="179">
        <f>'Translate&amp;Prices&amp;Logo'!$B$143</f>
        <v>0</v>
      </c>
      <c r="V24" s="179">
        <f>'Translate&amp;Prices&amp;Logo'!$B$143</f>
        <v>0</v>
      </c>
      <c r="AF24" s="143" t="s">
        <v>216</v>
      </c>
      <c r="AG24" s="143" t="s">
        <v>1912</v>
      </c>
      <c r="BY24">
        <v>7</v>
      </c>
    </row>
    <row r="25" spans="1:119">
      <c r="A25" s="179" t="str">
        <f>'Translate&amp;Prices&amp;Logo'!B26</f>
        <v>Modena dark stainless steel brushed - maximum profile length 2500 mm</v>
      </c>
      <c r="B25">
        <v>2</v>
      </c>
      <c r="C25" t="s">
        <v>1122</v>
      </c>
      <c r="D25">
        <v>0</v>
      </c>
      <c r="G25" s="783"/>
      <c r="H25" s="783"/>
      <c r="I25" s="783"/>
      <c r="Q25" s="179" t="str">
        <f>'Translate&amp;Prices&amp;Logo'!$B$126</f>
        <v>Lacobel RAL 1013</v>
      </c>
      <c r="R25" s="179" t="str">
        <f>'Translate&amp;Prices&amp;Logo'!$B$139</f>
        <v>Lacobel RAL 9010</v>
      </c>
      <c r="U25" s="179" t="str">
        <f>'Translate&amp;Prices&amp;Logo'!$B$144</f>
        <v>Moru brown horizontal</v>
      </c>
      <c r="V25" s="179" t="str">
        <f>'Translate&amp;Prices&amp;Logo'!$B$144</f>
        <v>Moru brown horizontal</v>
      </c>
      <c r="AF25" s="146" t="s">
        <v>215</v>
      </c>
      <c r="AG25" s="146" t="s">
        <v>1913</v>
      </c>
      <c r="BY25">
        <v>8</v>
      </c>
    </row>
    <row r="26" spans="1:119">
      <c r="A26" s="179">
        <f>'Translate&amp;Prices&amp;Logo'!B27</f>
        <v>0</v>
      </c>
      <c r="B26">
        <v>2</v>
      </c>
      <c r="C26" t="s">
        <v>1122</v>
      </c>
      <c r="D26">
        <v>0</v>
      </c>
      <c r="G26" s="783"/>
      <c r="H26" s="783"/>
      <c r="I26" s="783"/>
      <c r="Q26" s="179" t="e">
        <f>'Translate&amp;Prices&amp;Logo'!#REF!</f>
        <v>#REF!</v>
      </c>
      <c r="R26" s="179" t="str">
        <f>'Translate&amp;Prices&amp;Logo'!$B$140</f>
        <v>Moru brown vertical</v>
      </c>
      <c r="U26" s="179" t="str">
        <f>'Translate&amp;Prices&amp;Logo'!$B$145</f>
        <v>Moru graphite horizontal</v>
      </c>
      <c r="V26" s="179" t="str">
        <f>'Translate&amp;Prices&amp;Logo'!$B$145</f>
        <v>Moru graphite horizontal</v>
      </c>
      <c r="AF26" s="146" t="s">
        <v>216</v>
      </c>
      <c r="AG26" s="146" t="s">
        <v>1913</v>
      </c>
      <c r="BY26">
        <v>9</v>
      </c>
    </row>
    <row r="27" spans="1:119">
      <c r="A27" s="179">
        <f>'Translate&amp;Prices&amp;Logo'!B28</f>
        <v>0</v>
      </c>
      <c r="B27">
        <v>2</v>
      </c>
      <c r="C27" t="s">
        <v>1122</v>
      </c>
      <c r="D27">
        <v>0</v>
      </c>
      <c r="G27" s="783"/>
      <c r="H27" s="783"/>
      <c r="I27" s="783"/>
      <c r="Q27" s="179" t="str">
        <f>'Translate&amp;Prices&amp;Logo'!$B$127</f>
        <v>Lacobel RAL 1015</v>
      </c>
      <c r="R27" s="179" t="str">
        <f>'Translate&amp;Prices&amp;Logo'!$B$141</f>
        <v xml:space="preserve">Moru graphite vertical </v>
      </c>
      <c r="U27" s="179">
        <f>'Translate&amp;Prices&amp;Logo'!$B$146</f>
        <v>0</v>
      </c>
      <c r="V27" s="179">
        <f>'Translate&amp;Prices&amp;Logo'!$B$146</f>
        <v>0</v>
      </c>
      <c r="AF27" s="143" t="s">
        <v>215</v>
      </c>
      <c r="AG27" s="143" t="s">
        <v>1914</v>
      </c>
      <c r="BY27">
        <v>10</v>
      </c>
    </row>
    <row r="28" spans="1:119">
      <c r="A28" s="179" t="str">
        <f>'Translate&amp;Prices&amp;Logo'!B29</f>
        <v>Pisa (elox.) - maximum profile length 2500 mm</v>
      </c>
      <c r="B28">
        <v>2</v>
      </c>
      <c r="C28" t="s">
        <v>1931</v>
      </c>
      <c r="D28">
        <v>0</v>
      </c>
      <c r="G28" s="783"/>
      <c r="H28" s="783"/>
      <c r="I28" s="783"/>
      <c r="Q28" s="179" t="str">
        <f>'Translate&amp;Prices&amp;Logo'!$B$128</f>
        <v>FLUTES vertical</v>
      </c>
      <c r="R28" s="179">
        <f>'Translate&amp;Prices&amp;Logo'!$B$142</f>
        <v>0</v>
      </c>
      <c r="U28" s="179">
        <f>'Translate&amp;Prices&amp;Logo'!$B$147</f>
        <v>0</v>
      </c>
      <c r="V28" s="179">
        <f>'Translate&amp;Prices&amp;Logo'!$B$147</f>
        <v>0</v>
      </c>
      <c r="AA28" t="s">
        <v>1909</v>
      </c>
      <c r="AB28" t="s">
        <v>1945</v>
      </c>
      <c r="AF28" s="143" t="s">
        <v>216</v>
      </c>
      <c r="AG28" s="143" t="s">
        <v>1914</v>
      </c>
    </row>
    <row r="29" spans="1:119">
      <c r="A29" s="179" t="str">
        <f>'Translate&amp;Prices&amp;Logo'!B30</f>
        <v>Pisa black matt - maximum profile length 2500 mm</v>
      </c>
      <c r="B29">
        <v>2</v>
      </c>
      <c r="C29" t="s">
        <v>1931</v>
      </c>
      <c r="D29">
        <v>0</v>
      </c>
      <c r="G29" s="783"/>
      <c r="H29" s="783"/>
      <c r="I29" s="783"/>
      <c r="Q29" s="179" t="str">
        <f>'Translate&amp;Prices&amp;Logo'!$B$129</f>
        <v>VISIOSUN vertical</v>
      </c>
      <c r="R29" s="179">
        <f>'Translate&amp;Prices&amp;Logo'!$B$143</f>
        <v>0</v>
      </c>
      <c r="U29" s="179">
        <f>'Translate&amp;Prices&amp;Logo'!$B$148</f>
        <v>0</v>
      </c>
      <c r="V29" s="179">
        <f>'Translate&amp;Prices&amp;Logo'!$B$148</f>
        <v>0</v>
      </c>
      <c r="AA29" t="s">
        <v>1909</v>
      </c>
      <c r="AB29" t="s">
        <v>1908</v>
      </c>
      <c r="AC29">
        <v>1</v>
      </c>
      <c r="AD29">
        <v>0</v>
      </c>
      <c r="AF29" s="146" t="s">
        <v>215</v>
      </c>
      <c r="AG29" s="146" t="s">
        <v>1915</v>
      </c>
    </row>
    <row r="30" spans="1:119">
      <c r="A30" s="179" t="str">
        <f>'Translate&amp;Prices&amp;Logo'!B31</f>
        <v>Vivaro gold - maximum profile length 2150 mm</v>
      </c>
      <c r="B30">
        <v>2</v>
      </c>
      <c r="C30" t="s">
        <v>1931</v>
      </c>
      <c r="D30">
        <v>0</v>
      </c>
      <c r="Q30" s="179" t="str">
        <f>'Translate&amp;Prices&amp;Logo'!$B$131</f>
        <v>VISIOSUN sateen horizont</v>
      </c>
      <c r="R30" s="179" t="str">
        <f>'Translate&amp;Prices&amp;Logo'!$B$144</f>
        <v>Moru brown horizontal</v>
      </c>
      <c r="U30" s="179">
        <f>'Translate&amp;Prices&amp;Logo'!$B$149</f>
        <v>0</v>
      </c>
      <c r="V30" s="179">
        <f>'Translate&amp;Prices&amp;Logo'!$B$149</f>
        <v>0</v>
      </c>
      <c r="AA30" t="s">
        <v>1909</v>
      </c>
      <c r="AB30" t="s">
        <v>2053</v>
      </c>
      <c r="AC30">
        <v>1</v>
      </c>
      <c r="AD30">
        <v>0</v>
      </c>
      <c r="AF30" s="146" t="s">
        <v>216</v>
      </c>
      <c r="AG30" s="146" t="s">
        <v>1915</v>
      </c>
    </row>
    <row r="31" spans="1:119">
      <c r="A31" s="179" t="e">
        <f>'Translate&amp;Prices&amp;Logo'!#REF!</f>
        <v>#REF!</v>
      </c>
      <c r="B31">
        <v>1</v>
      </c>
      <c r="C31" t="s">
        <v>1122</v>
      </c>
      <c r="D31">
        <v>0</v>
      </c>
      <c r="Q31" s="179">
        <f>'Translate&amp;Prices&amp;Logo'!$B$132</f>
        <v>0</v>
      </c>
      <c r="R31" s="179" t="str">
        <f>'Translate&amp;Prices&amp;Logo'!$B$145</f>
        <v>Moru graphite horizontal</v>
      </c>
      <c r="U31" s="179">
        <f>'Translate&amp;Prices&amp;Logo'!$B$150</f>
        <v>0</v>
      </c>
      <c r="V31" s="179">
        <f>'Translate&amp;Prices&amp;Logo'!$B$150</f>
        <v>0</v>
      </c>
      <c r="AA31" t="s">
        <v>1909</v>
      </c>
      <c r="AB31" t="s">
        <v>1911</v>
      </c>
      <c r="AC31">
        <v>1</v>
      </c>
      <c r="AD31">
        <v>0</v>
      </c>
      <c r="AF31" s="143" t="s">
        <v>215</v>
      </c>
      <c r="AG31" s="143" t="s">
        <v>1916</v>
      </c>
    </row>
    <row r="32" spans="1:119">
      <c r="A32" s="179">
        <f>'Translate&amp;Prices&amp;Logo'!B32</f>
        <v>0</v>
      </c>
      <c r="B32">
        <v>2</v>
      </c>
      <c r="C32" t="s">
        <v>1122</v>
      </c>
      <c r="D32">
        <v>0</v>
      </c>
      <c r="Q32" s="179" t="str">
        <f>'Translate&amp;Prices&amp;Logo'!$B$133</f>
        <v>Lacobel RAL 7035</v>
      </c>
      <c r="R32" s="179">
        <f>'Translate&amp;Prices&amp;Logo'!$B$146</f>
        <v>0</v>
      </c>
      <c r="U32" s="179">
        <f>'Translate&amp;Prices&amp;Logo'!$B$151</f>
        <v>0</v>
      </c>
      <c r="V32" s="179">
        <f>'Translate&amp;Prices&amp;Logo'!$B$151</f>
        <v>0</v>
      </c>
      <c r="AA32" t="s">
        <v>1909</v>
      </c>
      <c r="AB32" t="s">
        <v>2052</v>
      </c>
      <c r="AC32">
        <v>1</v>
      </c>
      <c r="AD32">
        <v>0</v>
      </c>
      <c r="AF32" s="143" t="s">
        <v>216</v>
      </c>
      <c r="AG32" s="143" t="s">
        <v>1916</v>
      </c>
    </row>
    <row r="33" spans="1:33">
      <c r="A33" s="179">
        <f>'Translate&amp;Prices&amp;Logo'!$B$33</f>
        <v>0</v>
      </c>
      <c r="B33">
        <v>2</v>
      </c>
      <c r="C33" t="s">
        <v>1122</v>
      </c>
      <c r="D33">
        <v>0</v>
      </c>
      <c r="Q33" s="179">
        <f>'Translate&amp;Prices&amp;Logo'!$B$134</f>
        <v>0</v>
      </c>
      <c r="R33" s="179">
        <f>'Translate&amp;Prices&amp;Logo'!$B$147</f>
        <v>0</v>
      </c>
      <c r="U33" s="179">
        <f>'Translate&amp;Prices&amp;Logo'!$B$152</f>
        <v>0</v>
      </c>
      <c r="V33" s="179">
        <f>'Translate&amp;Prices&amp;Logo'!$B$152</f>
        <v>0</v>
      </c>
      <c r="AA33" t="s">
        <v>1909</v>
      </c>
      <c r="AB33" t="s">
        <v>1913</v>
      </c>
      <c r="AC33">
        <v>1</v>
      </c>
      <c r="AD33">
        <v>0</v>
      </c>
      <c r="AF33" s="146" t="s">
        <v>215</v>
      </c>
      <c r="AG33" s="146" t="s">
        <v>1918</v>
      </c>
    </row>
    <row r="34" spans="1:33">
      <c r="A34" s="179" t="str">
        <f>'Translate&amp;Prices&amp;Logo'!B34</f>
        <v>Verona (elox.) - maximum profile length 2500 mm</v>
      </c>
      <c r="B34">
        <v>1</v>
      </c>
      <c r="C34" t="s">
        <v>1122</v>
      </c>
      <c r="D34">
        <v>0</v>
      </c>
      <c r="Q34" s="179" t="str">
        <f>'Translate&amp;Prices&amp;Logo'!$B$135</f>
        <v>Lacobel RAL 9003</v>
      </c>
      <c r="R34" s="179">
        <f>'Translate&amp;Prices&amp;Logo'!$B$148</f>
        <v>0</v>
      </c>
      <c r="U34" s="179">
        <f>'Translate&amp;Prices&amp;Logo'!$B$153</f>
        <v>0</v>
      </c>
      <c r="V34" s="179">
        <f>'Translate&amp;Prices&amp;Logo'!$B$153</f>
        <v>0</v>
      </c>
      <c r="AB34" t="s">
        <v>1914</v>
      </c>
      <c r="AC34">
        <v>1</v>
      </c>
      <c r="AD34">
        <v>0</v>
      </c>
      <c r="AF34" s="146" t="s">
        <v>216</v>
      </c>
      <c r="AG34" s="146" t="s">
        <v>1918</v>
      </c>
    </row>
    <row r="35" spans="1:33">
      <c r="A35" s="179" t="str">
        <f>'Translate&amp;Prices&amp;Logo'!B35</f>
        <v>Verona brushed aluminium - maximum profile length 2500 mm</v>
      </c>
      <c r="B35">
        <v>1</v>
      </c>
      <c r="C35" t="s">
        <v>1122</v>
      </c>
      <c r="D35">
        <v>0</v>
      </c>
      <c r="Q35" s="179" t="str">
        <f>'Translate&amp;Prices&amp;Logo'!$B$136</f>
        <v>Lacobel RAL 9005</v>
      </c>
      <c r="R35" s="179">
        <f>'Translate&amp;Prices&amp;Logo'!$B$149</f>
        <v>0</v>
      </c>
      <c r="U35" s="179" t="str">
        <f>'Translate&amp;Prices&amp;Logo'!$B$154</f>
        <v xml:space="preserve">Matelac RAL 9003 </v>
      </c>
      <c r="V35" s="179" t="str">
        <f>'Translate&amp;Prices&amp;Logo'!$B$154</f>
        <v xml:space="preserve">Matelac RAL 9003 </v>
      </c>
    </row>
    <row r="36" spans="1:33">
      <c r="A36" s="179" t="str">
        <f>'Translate&amp;Prices&amp;Logo'!B36</f>
        <v>Verona black gloss - maximum profile length 2500 mm</v>
      </c>
      <c r="B36">
        <v>1</v>
      </c>
      <c r="C36" t="s">
        <v>1122</v>
      </c>
      <c r="D36">
        <v>0</v>
      </c>
      <c r="Q36" s="179" t="str">
        <f>'Translate&amp;Prices&amp;Logo'!$B$137</f>
        <v>Lacobel RAL 9006</v>
      </c>
      <c r="R36" s="179">
        <f>'Translate&amp;Prices&amp;Logo'!$B$150</f>
        <v>0</v>
      </c>
      <c r="U36" s="179" t="str">
        <f>'Translate&amp;Prices&amp;Logo'!$B$155</f>
        <v xml:space="preserve">Matelac RAL 9005 </v>
      </c>
      <c r="V36" s="179" t="str">
        <f>'Translate&amp;Prices&amp;Logo'!$B$155</f>
        <v xml:space="preserve">Matelac RAL 9005 </v>
      </c>
    </row>
    <row r="37" spans="1:33">
      <c r="A37" s="179" t="str">
        <f>'Translate&amp;Prices&amp;Logo'!B37</f>
        <v>Verona black matt - maximum profile length 2500 mm</v>
      </c>
      <c r="B37">
        <v>1</v>
      </c>
      <c r="C37" t="s">
        <v>1122</v>
      </c>
      <c r="D37">
        <v>0</v>
      </c>
      <c r="Q37" s="179" t="str">
        <f>'Translate&amp;Prices&amp;Logo'!$B$138</f>
        <v>Lacobel RAL 9007</v>
      </c>
      <c r="R37" s="179">
        <f>'Translate&amp;Prices&amp;Logo'!$B$151</f>
        <v>0</v>
      </c>
      <c r="U37" s="179">
        <f>'Translate&amp;Prices&amp;Logo'!$B$156</f>
        <v>0</v>
      </c>
      <c r="V37" s="179">
        <f>'Translate&amp;Prices&amp;Logo'!$B$156</f>
        <v>0</v>
      </c>
    </row>
    <row r="38" spans="1:33">
      <c r="A38" s="179" t="str">
        <f>'Translate&amp;Prices&amp;Logo'!B38</f>
        <v>Verona brown - maximum profile length 2500 mm</v>
      </c>
      <c r="B38">
        <v>1</v>
      </c>
      <c r="C38" t="s">
        <v>1122</v>
      </c>
      <c r="D38">
        <v>0</v>
      </c>
      <c r="Q38" s="179" t="str">
        <f>'Translate&amp;Prices&amp;Logo'!$B$139</f>
        <v>Lacobel RAL 9010</v>
      </c>
      <c r="R38" s="179">
        <f>'Translate&amp;Prices&amp;Logo'!$B$152</f>
        <v>0</v>
      </c>
      <c r="U38" s="179">
        <f>'Translate&amp;Prices&amp;Logo'!$B$157</f>
        <v>0</v>
      </c>
      <c r="V38" s="179">
        <f>'Translate&amp;Prices&amp;Logo'!$B$157</f>
        <v>0</v>
      </c>
    </row>
    <row r="39" spans="1:33">
      <c r="A39" s="179" t="str">
        <f>'Translate&amp;Prices&amp;Logo'!B39</f>
        <v>Verona champagne - maximum profile length 2500 mm</v>
      </c>
      <c r="B39">
        <v>1</v>
      </c>
      <c r="C39" t="s">
        <v>1122</v>
      </c>
      <c r="D39">
        <v>0</v>
      </c>
      <c r="Q39" s="179" t="str">
        <f>'Translate&amp;Prices&amp;Logo'!$B$140</f>
        <v>Moru brown vertical</v>
      </c>
      <c r="R39" s="179">
        <f>'Translate&amp;Prices&amp;Logo'!$B$153</f>
        <v>0</v>
      </c>
      <c r="U39" s="179">
        <f>'Translate&amp;Prices&amp;Logo'!$B$158</f>
        <v>0</v>
      </c>
      <c r="V39" s="179">
        <f>'Translate&amp;Prices&amp;Logo'!$B$158</f>
        <v>0</v>
      </c>
      <c r="AA39" t="s">
        <v>977</v>
      </c>
      <c r="AB39" t="s">
        <v>1943</v>
      </c>
    </row>
    <row r="40" spans="1:33">
      <c r="A40" s="179" t="str">
        <f>'Translate&amp;Prices&amp;Logo'!B40</f>
        <v>Verona dark stainless steel brushed - maximum profile length 2500 mm</v>
      </c>
      <c r="B40">
        <v>1</v>
      </c>
      <c r="C40" t="s">
        <v>1122</v>
      </c>
      <c r="D40">
        <v>0</v>
      </c>
      <c r="Q40" s="179" t="str">
        <f>'Translate&amp;Prices&amp;Logo'!$B$141</f>
        <v xml:space="preserve">Moru graphite vertical </v>
      </c>
      <c r="R40" s="179" t="str">
        <f>'Translate&amp;Prices&amp;Logo'!$B$154</f>
        <v xml:space="preserve">Matelac RAL 9003 </v>
      </c>
      <c r="U40" s="179">
        <f>'Translate&amp;Prices&amp;Logo'!$B$159</f>
        <v>0</v>
      </c>
      <c r="V40" s="179">
        <f>'Translate&amp;Prices&amp;Logo'!$B$159</f>
        <v>0</v>
      </c>
      <c r="AA40" t="s">
        <v>977</v>
      </c>
      <c r="AB40" t="s">
        <v>2054</v>
      </c>
      <c r="AC40">
        <v>1</v>
      </c>
      <c r="AD40">
        <v>0</v>
      </c>
    </row>
    <row r="41" spans="1:33">
      <c r="A41" s="179" t="str">
        <f>'Translate&amp;Prices&amp;Logo'!B41</f>
        <v>Verona light stainless steel (Acier grata) - maximum profile length 2500 mm</v>
      </c>
      <c r="B41">
        <v>1</v>
      </c>
      <c r="C41" t="s">
        <v>1122</v>
      </c>
      <c r="D41">
        <v>0</v>
      </c>
      <c r="Q41" s="179">
        <f>'Translate&amp;Prices&amp;Logo'!$B$142</f>
        <v>0</v>
      </c>
      <c r="R41" s="179" t="str">
        <f>'Translate&amp;Prices&amp;Logo'!$B$155</f>
        <v xml:space="preserve">Matelac RAL 9005 </v>
      </c>
      <c r="U41" s="179" t="str">
        <f>'Translate&amp;Prices&amp;Logo'!$B$160</f>
        <v>Matelac mirror bronze</v>
      </c>
      <c r="V41" s="179" t="str">
        <f>'Translate&amp;Prices&amp;Logo'!$B$160</f>
        <v>Matelac mirror bronze</v>
      </c>
      <c r="AB41" t="s">
        <v>2055</v>
      </c>
      <c r="AC41">
        <v>1</v>
      </c>
      <c r="AD41">
        <v>0</v>
      </c>
    </row>
    <row r="42" spans="1:33">
      <c r="A42" s="179" t="str">
        <f>'Translate&amp;Prices&amp;Logo'!B43</f>
        <v>Vivaro (elox.) - maximum profile length 2500 mm</v>
      </c>
      <c r="B42">
        <v>2</v>
      </c>
      <c r="C42" t="s">
        <v>1122</v>
      </c>
      <c r="D42">
        <v>1</v>
      </c>
      <c r="Q42" s="179">
        <f>'Translate&amp;Prices&amp;Logo'!$B$143</f>
        <v>0</v>
      </c>
      <c r="R42" s="179">
        <f>'Translate&amp;Prices&amp;Logo'!$B$156</f>
        <v>0</v>
      </c>
      <c r="U42" s="179" t="str">
        <f>'Translate&amp;Prices&amp;Logo'!$B$162</f>
        <v>Matelac mirror graphite</v>
      </c>
      <c r="V42" s="179" t="str">
        <f>'Translate&amp;Prices&amp;Logo'!$B$162</f>
        <v>Matelac mirror graphite</v>
      </c>
      <c r="AA42" t="s">
        <v>1917</v>
      </c>
      <c r="AB42" t="s">
        <v>1944</v>
      </c>
    </row>
    <row r="43" spans="1:33">
      <c r="A43" s="179" t="str">
        <f>'Translate&amp;Prices&amp;Logo'!B44</f>
        <v>Vivaro black matt - maximum profile length 2500 mm</v>
      </c>
      <c r="B43">
        <v>2</v>
      </c>
      <c r="C43" t="s">
        <v>1122</v>
      </c>
      <c r="D43">
        <v>1</v>
      </c>
      <c r="Q43" s="179" t="str">
        <f>'Translate&amp;Prices&amp;Logo'!$B$144</f>
        <v>Moru brown horizontal</v>
      </c>
      <c r="R43" s="179">
        <f>'Translate&amp;Prices&amp;Logo'!$B$157</f>
        <v>0</v>
      </c>
      <c r="U43" s="179" t="str">
        <f>'Translate&amp;Prices&amp;Logo'!$B$163</f>
        <v>Matelac mirror silver.</v>
      </c>
      <c r="V43" s="179" t="str">
        <f>'Translate&amp;Prices&amp;Logo'!$B$163</f>
        <v>Matelac mirror silver.</v>
      </c>
      <c r="AA43" t="s">
        <v>1917</v>
      </c>
      <c r="AB43" t="s">
        <v>2064</v>
      </c>
      <c r="AC43">
        <v>0</v>
      </c>
      <c r="AD43">
        <v>0</v>
      </c>
    </row>
    <row r="44" spans="1:33">
      <c r="A44" s="179" t="str">
        <f>'Translate&amp;Prices&amp;Logo'!B45</f>
        <v>Imola gold - maximum profile length 2150 mm</v>
      </c>
      <c r="B44">
        <v>2</v>
      </c>
      <c r="C44" t="s">
        <v>1122</v>
      </c>
      <c r="D44">
        <v>0</v>
      </c>
      <c r="Q44" s="179" t="str">
        <f>'Translate&amp;Prices&amp;Logo'!$B$145</f>
        <v>Moru graphite horizontal</v>
      </c>
      <c r="R44" s="179">
        <f>'Translate&amp;Prices&amp;Logo'!$B$158</f>
        <v>0</v>
      </c>
      <c r="AA44" t="s">
        <v>1917</v>
      </c>
      <c r="AB44" t="s">
        <v>1918</v>
      </c>
      <c r="AC44">
        <v>1</v>
      </c>
      <c r="AD44">
        <v>0</v>
      </c>
    </row>
    <row r="45" spans="1:33">
      <c r="A45" s="179" t="str">
        <f>'Translate&amp;Prices&amp;Logo'!B46</f>
        <v>Vivaro dark stainless steel - maximum profile length 2500 mm</v>
      </c>
      <c r="B45">
        <v>2</v>
      </c>
      <c r="C45" t="s">
        <v>1122</v>
      </c>
      <c r="D45">
        <v>0</v>
      </c>
      <c r="Q45" s="179">
        <f>'Translate&amp;Prices&amp;Logo'!$B$146</f>
        <v>0</v>
      </c>
      <c r="R45" s="179">
        <f>'Translate&amp;Prices&amp;Logo'!$B$159</f>
        <v>0</v>
      </c>
      <c r="AB45" t="s">
        <v>2065</v>
      </c>
      <c r="AC45">
        <v>0</v>
      </c>
      <c r="AD45">
        <v>0</v>
      </c>
    </row>
    <row r="46" spans="1:33">
      <c r="A46" s="179" t="str">
        <f>'Translate&amp;Prices&amp;Logo'!B47</f>
        <v>Vivaro white matt RAL 9003 - maximum profile length 2500 mm</v>
      </c>
      <c r="B46">
        <v>2</v>
      </c>
      <c r="C46" t="s">
        <v>1122</v>
      </c>
      <c r="D46">
        <v>0</v>
      </c>
      <c r="Q46" s="179">
        <f>'Translate&amp;Prices&amp;Logo'!$B$147</f>
        <v>0</v>
      </c>
      <c r="R46" s="179" t="str">
        <f>'Translate&amp;Prices&amp;Logo'!$B$160</f>
        <v>Matelac mirror bronze</v>
      </c>
    </row>
    <row r="47" spans="1:33">
      <c r="A47" s="179" t="str">
        <f>'Translate&amp;Prices&amp;Logo'!B48</f>
        <v>Vivaro white gloss RAL 9003 - maximum profile length 2500 mm</v>
      </c>
      <c r="B47">
        <v>2</v>
      </c>
      <c r="C47" t="s">
        <v>1122</v>
      </c>
      <c r="D47">
        <v>0</v>
      </c>
      <c r="Q47" s="179">
        <f>'Translate&amp;Prices&amp;Logo'!$B$148</f>
        <v>0</v>
      </c>
      <c r="R47" s="179" t="str">
        <f>'Translate&amp;Prices&amp;Logo'!$B$162</f>
        <v>Matelac mirror graphite</v>
      </c>
    </row>
    <row r="48" spans="1:33">
      <c r="A48" s="179" t="e">
        <f>'Translate&amp;Prices&amp;Logo'!#REF!</f>
        <v>#REF!</v>
      </c>
      <c r="B48">
        <v>1</v>
      </c>
      <c r="C48" t="s">
        <v>1931</v>
      </c>
      <c r="D48">
        <v>0</v>
      </c>
      <c r="Q48" s="179">
        <f>'Translate&amp;Prices&amp;Logo'!$B$149</f>
        <v>0</v>
      </c>
      <c r="R48" s="179" t="str">
        <f>'Translate&amp;Prices&amp;Logo'!$B$163</f>
        <v>Matelac mirror silver.</v>
      </c>
    </row>
    <row r="49" spans="1:17">
      <c r="A49" s="179">
        <f>'Translate&amp;Prices&amp;Logo'!B77</f>
        <v>0</v>
      </c>
      <c r="B49">
        <v>2</v>
      </c>
      <c r="C49" t="s">
        <v>1931</v>
      </c>
      <c r="D49">
        <v>0</v>
      </c>
      <c r="Q49" s="179">
        <f>'Translate&amp;Prices&amp;Logo'!$B$150</f>
        <v>0</v>
      </c>
    </row>
    <row r="50" spans="1:17">
      <c r="A50" s="179" t="e">
        <f>'Translate&amp;Prices&amp;Logo'!#REF!</f>
        <v>#REF!</v>
      </c>
      <c r="B50">
        <v>1</v>
      </c>
      <c r="C50" t="s">
        <v>1931</v>
      </c>
      <c r="D50">
        <v>0</v>
      </c>
      <c r="Q50" s="179">
        <f>'Translate&amp;Prices&amp;Logo'!$B$151</f>
        <v>0</v>
      </c>
    </row>
    <row r="51" spans="1:17">
      <c r="A51" s="179">
        <f>'Translate&amp;Prices&amp;Logo'!B79</f>
        <v>0</v>
      </c>
      <c r="B51">
        <v>2</v>
      </c>
      <c r="C51" t="s">
        <v>1931</v>
      </c>
      <c r="D51">
        <v>0</v>
      </c>
      <c r="Q51" s="179">
        <f>'Translate&amp;Prices&amp;Logo'!$B$152</f>
        <v>0</v>
      </c>
    </row>
    <row r="52" spans="1:17">
      <c r="A52" s="179">
        <f>'Translate&amp;Prices&amp;Logo'!B83</f>
        <v>0</v>
      </c>
      <c r="B52">
        <v>1</v>
      </c>
      <c r="C52" t="s">
        <v>1931</v>
      </c>
      <c r="D52">
        <v>0</v>
      </c>
      <c r="Q52" s="179">
        <f>'Translate&amp;Prices&amp;Logo'!$B$153</f>
        <v>0</v>
      </c>
    </row>
    <row r="53" spans="1:17">
      <c r="A53" s="179" t="str">
        <f>'Translate&amp;Prices&amp;Logo'!B80</f>
        <v>Rocca elox (Left and Right) + Varna elox (Top and Bottom)</v>
      </c>
      <c r="B53">
        <v>2</v>
      </c>
      <c r="C53" t="s">
        <v>1931</v>
      </c>
      <c r="D53">
        <v>0</v>
      </c>
      <c r="Q53" s="179" t="str">
        <f>'Translate&amp;Prices&amp;Logo'!$B$154</f>
        <v xml:space="preserve">Matelac RAL 9003 </v>
      </c>
    </row>
    <row r="54" spans="1:17">
      <c r="Q54" s="179" t="str">
        <f>'Translate&amp;Prices&amp;Logo'!$B$155</f>
        <v xml:space="preserve">Matelac RAL 9005 </v>
      </c>
    </row>
    <row r="55" spans="1:17">
      <c r="Q55" s="179">
        <f>'Translate&amp;Prices&amp;Logo'!$B$156</f>
        <v>0</v>
      </c>
    </row>
    <row r="56" spans="1:17">
      <c r="Q56" s="179">
        <f>'Translate&amp;Prices&amp;Logo'!$B$157</f>
        <v>0</v>
      </c>
    </row>
    <row r="57" spans="1:17">
      <c r="Q57" s="179">
        <f>'Translate&amp;Prices&amp;Logo'!$B$158</f>
        <v>0</v>
      </c>
    </row>
    <row r="58" spans="1:17">
      <c r="Q58" s="179">
        <f>'Translate&amp;Prices&amp;Logo'!$B$159</f>
        <v>0</v>
      </c>
    </row>
    <row r="59" spans="1:17">
      <c r="Q59" s="179" t="str">
        <f>'Translate&amp;Prices&amp;Logo'!$B$160</f>
        <v>Matelac mirror bronze</v>
      </c>
    </row>
    <row r="60" spans="1:17">
      <c r="Q60" s="179" t="str">
        <f>'Translate&amp;Prices&amp;Logo'!$B$162</f>
        <v>Matelac mirror graphite</v>
      </c>
    </row>
    <row r="61" spans="1:17">
      <c r="Q61" s="179" t="str">
        <f>'Translate&amp;Prices&amp;Logo'!$B$163</f>
        <v>Matelac mirror silver.</v>
      </c>
    </row>
  </sheetData>
  <mergeCells count="1">
    <mergeCell ref="G23:I29"/>
  </mergeCells>
  <conditionalFormatting sqref="P2:P61 P63:P65536">
    <cfRule type="expression" dxfId="158" priority="35" stopIfTrue="1">
      <formula>AND(COUNTIF($P$63:$P$65536, P2)+COUNTIF($P$2:$P$61, P2)&gt;1,NOT(ISBLANK(P2)))</formula>
    </cfRule>
  </conditionalFormatting>
  <conditionalFormatting sqref="Q2 Q4:Q61 Q63:Q65536">
    <cfRule type="expression" dxfId="157" priority="33" stopIfTrue="1">
      <formula>AND(COUNTIF($Q$2:$Q$2, Q2)+COUNTIF($Q$63:$Q$65536, Q2)+COUNTIF($Q$4:$Q$61, Q2)&gt;1,NOT(ISBLANK(Q2)))</formula>
    </cfRule>
  </conditionalFormatting>
  <conditionalFormatting sqref="R4">
    <cfRule type="duplicateValues" dxfId="156" priority="23"/>
  </conditionalFormatting>
  <conditionalFormatting sqref="R5">
    <cfRule type="duplicateValues" dxfId="155" priority="22"/>
  </conditionalFormatting>
  <conditionalFormatting sqref="R6:R8">
    <cfRule type="duplicateValues" dxfId="154" priority="21"/>
  </conditionalFormatting>
  <conditionalFormatting sqref="R9:R10">
    <cfRule type="duplicateValues" dxfId="153" priority="20"/>
  </conditionalFormatting>
  <conditionalFormatting sqref="R11">
    <cfRule type="duplicateValues" dxfId="152" priority="19"/>
  </conditionalFormatting>
  <conditionalFormatting sqref="R12:R36">
    <cfRule type="duplicateValues" dxfId="151" priority="18"/>
  </conditionalFormatting>
  <conditionalFormatting sqref="R37:R45">
    <cfRule type="duplicateValues" dxfId="150" priority="17"/>
  </conditionalFormatting>
  <conditionalFormatting sqref="R46:R48">
    <cfRule type="duplicateValues" dxfId="149" priority="16"/>
  </conditionalFormatting>
  <conditionalFormatting sqref="R49:R55">
    <cfRule type="duplicateValues" dxfId="148" priority="24"/>
  </conditionalFormatting>
  <conditionalFormatting sqref="R49:R61 R2 R63:R65536">
    <cfRule type="expression" dxfId="147" priority="34" stopIfTrue="1">
      <formula>AND(COUNTIF($R$2:$R$2, R2)+COUNTIF($R$63:$R$65536, R2)+COUNTIF($R$49:$R$61, R2)&gt;1,NOT(ISBLANK(R2)))</formula>
    </cfRule>
  </conditionalFormatting>
  <conditionalFormatting sqref="R56:R57">
    <cfRule type="duplicateValues" dxfId="146" priority="25"/>
  </conditionalFormatting>
  <conditionalFormatting sqref="R58:R61 R63">
    <cfRule type="expression" dxfId="145" priority="36" stopIfTrue="1">
      <formula>AND(COUNTIF($R$63:$R$63, R58)+COUNTIF($R$58:$R$61, R58)&gt;1,NOT(ISBLANK(R58)))</formula>
    </cfRule>
  </conditionalFormatting>
  <conditionalFormatting sqref="S4">
    <cfRule type="duplicateValues" dxfId="144" priority="15"/>
  </conditionalFormatting>
  <conditionalFormatting sqref="S5:S10">
    <cfRule type="duplicateValues" dxfId="143" priority="14"/>
  </conditionalFormatting>
  <conditionalFormatting sqref="S11:S12">
    <cfRule type="duplicateValues" dxfId="142" priority="13"/>
  </conditionalFormatting>
  <conditionalFormatting sqref="S13:S19">
    <cfRule type="duplicateValues" dxfId="141" priority="12"/>
  </conditionalFormatting>
  <conditionalFormatting sqref="S20:S48">
    <cfRule type="duplicateValues" dxfId="140" priority="26"/>
  </conditionalFormatting>
  <conditionalFormatting sqref="T4">
    <cfRule type="duplicateValues" dxfId="139" priority="11"/>
  </conditionalFormatting>
  <conditionalFormatting sqref="T5:T6">
    <cfRule type="duplicateValues" dxfId="138" priority="10"/>
  </conditionalFormatting>
  <conditionalFormatting sqref="T7">
    <cfRule type="duplicateValues" dxfId="137" priority="9"/>
  </conditionalFormatting>
  <conditionalFormatting sqref="U4:U6">
    <cfRule type="duplicateValues" dxfId="136" priority="8"/>
  </conditionalFormatting>
  <conditionalFormatting sqref="U7:U31">
    <cfRule type="duplicateValues" dxfId="135" priority="7"/>
  </conditionalFormatting>
  <conditionalFormatting sqref="U32:U40">
    <cfRule type="duplicateValues" dxfId="134" priority="6"/>
  </conditionalFormatting>
  <conditionalFormatting sqref="U41:U43">
    <cfRule type="duplicateValues" dxfId="133" priority="5"/>
  </conditionalFormatting>
  <conditionalFormatting sqref="V4:V6">
    <cfRule type="duplicateValues" dxfId="132" priority="4"/>
  </conditionalFormatting>
  <conditionalFormatting sqref="V7:V31">
    <cfRule type="duplicateValues" dxfId="131" priority="3"/>
  </conditionalFormatting>
  <conditionalFormatting sqref="V32:V40">
    <cfRule type="duplicateValues" dxfId="130" priority="2"/>
  </conditionalFormatting>
  <conditionalFormatting sqref="V41:V43">
    <cfRule type="duplicateValues" dxfId="129" priority="1"/>
  </conditionalFormatting>
  <conditionalFormatting sqref="AC4:AC9 AC15:AC23 AC29:AC34 AC40:AC41 AC43:AC45">
    <cfRule type="cellIs" dxfId="128" priority="27" operator="equal">
      <formula>1</formula>
    </cfRule>
  </conditionalFormatting>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zoomScale="80" zoomScaleNormal="80" workbookViewId="0"/>
  </sheetViews>
  <sheetFormatPr defaultColWidth="0" defaultRowHeight="15" zeroHeight="1"/>
  <cols>
    <col min="1" max="28" width="8.5703125" style="1" customWidth="1"/>
    <col min="29" max="32" width="9.140625" style="1" customWidth="1"/>
    <col min="33" max="16384" width="9.140625" style="1" hidden="1"/>
  </cols>
  <sheetData>
    <row r="1" spans="1:32">
      <c r="A1" s="174"/>
      <c r="B1" s="174"/>
      <c r="C1" s="174"/>
      <c r="D1" s="174"/>
      <c r="E1" s="174"/>
      <c r="F1" s="174"/>
      <c r="G1" s="174"/>
      <c r="H1" s="174"/>
      <c r="I1" s="174"/>
      <c r="J1" s="174"/>
      <c r="K1" s="174"/>
      <c r="L1" s="174"/>
      <c r="M1" s="174"/>
      <c r="N1" s="174"/>
      <c r="O1" s="174"/>
      <c r="P1" s="174"/>
      <c r="Q1" s="174"/>
      <c r="R1" s="174"/>
      <c r="S1" s="174"/>
      <c r="T1" s="174"/>
      <c r="U1" s="174"/>
      <c r="V1" s="174"/>
    </row>
    <row r="2" spans="1:32" ht="20.25">
      <c r="A2" s="175"/>
      <c r="B2" s="175"/>
      <c r="C2" s="175"/>
      <c r="D2" s="175"/>
      <c r="E2" s="175"/>
      <c r="F2" s="175"/>
      <c r="G2" s="175"/>
      <c r="H2" s="175"/>
      <c r="I2" s="175"/>
      <c r="J2" s="175"/>
      <c r="K2" s="887" t="str">
        <f>'Translate&amp;Prices&amp;Logo'!$B$310</f>
        <v>Drawings of profiles and connection fittings</v>
      </c>
      <c r="L2" s="887"/>
      <c r="M2" s="887"/>
      <c r="N2" s="887"/>
      <c r="O2" s="887"/>
      <c r="P2" s="887"/>
      <c r="Q2" s="887"/>
      <c r="R2" s="359"/>
      <c r="S2" s="359"/>
      <c r="T2" s="359"/>
      <c r="U2" s="175"/>
      <c r="V2" s="175"/>
      <c r="W2" s="120"/>
      <c r="X2" s="120"/>
      <c r="Y2" s="120"/>
      <c r="Z2" s="120"/>
      <c r="AA2" s="120"/>
      <c r="AB2" s="120"/>
      <c r="AC2" s="787" t="str">
        <f>'Translate&amp;Prices&amp;Logo'!$B$540</f>
        <v>Main page</v>
      </c>
      <c r="AD2" s="788"/>
      <c r="AE2" s="788"/>
      <c r="AF2" s="788"/>
    </row>
    <row r="3" spans="1:32" ht="20.25">
      <c r="A3" s="175"/>
      <c r="B3" s="175"/>
      <c r="C3" s="175"/>
      <c r="D3" s="175"/>
      <c r="E3" s="175"/>
      <c r="F3" s="175"/>
      <c r="G3" s="175"/>
      <c r="H3" s="175"/>
      <c r="I3" s="175"/>
      <c r="J3" s="175"/>
      <c r="K3" s="887"/>
      <c r="L3" s="887"/>
      <c r="M3" s="887"/>
      <c r="N3" s="887"/>
      <c r="O3" s="887"/>
      <c r="P3" s="887"/>
      <c r="Q3" s="887"/>
      <c r="R3" s="359"/>
      <c r="S3" s="359"/>
      <c r="T3" s="359"/>
      <c r="U3" s="175"/>
      <c r="V3" s="175"/>
      <c r="W3" s="120"/>
      <c r="X3" s="120"/>
      <c r="Y3" s="120"/>
      <c r="Z3" s="120"/>
      <c r="AA3" s="120"/>
      <c r="AB3" s="120"/>
      <c r="AC3" s="787"/>
      <c r="AD3" s="788"/>
      <c r="AE3" s="788"/>
      <c r="AF3" s="788"/>
    </row>
    <row r="4" spans="1:32">
      <c r="A4" s="174"/>
      <c r="B4" s="174"/>
      <c r="C4" s="174"/>
      <c r="D4" s="174"/>
      <c r="E4" s="174"/>
      <c r="F4" s="174"/>
      <c r="G4" s="174"/>
      <c r="H4" s="174"/>
      <c r="I4" s="174"/>
    </row>
    <row r="5" spans="1:32">
      <c r="A5" s="174"/>
      <c r="B5" s="174"/>
      <c r="C5" s="174"/>
      <c r="D5" s="174"/>
      <c r="E5" s="174"/>
      <c r="F5" s="174"/>
      <c r="G5" s="174"/>
      <c r="H5" s="174"/>
      <c r="I5" s="174"/>
    </row>
    <row r="6" spans="1:32"/>
    <row r="7" spans="1:32"/>
    <row r="8" spans="1:32" s="74" customFormat="1" ht="18.600000000000001" customHeight="1">
      <c r="B8" s="784" t="str">
        <f>'Translate&amp;Prices&amp;Logo'!$B$233</f>
        <v>Narrow ALU Frame</v>
      </c>
      <c r="C8" s="784"/>
      <c r="D8" s="784"/>
      <c r="E8" s="784"/>
      <c r="F8" s="784"/>
      <c r="G8" s="784"/>
      <c r="V8" s="786" t="str">
        <f>'Translate&amp;Prices&amp;Logo'!$B$316</f>
        <v>Profile drawings</v>
      </c>
      <c r="W8" s="786"/>
      <c r="X8" s="786"/>
      <c r="Y8" s="786"/>
      <c r="Z8" s="786"/>
      <c r="AA8" s="786"/>
      <c r="AB8" s="375"/>
      <c r="AC8" s="375"/>
    </row>
    <row r="9" spans="1:32"/>
    <row r="10" spans="1:32"/>
    <row r="11" spans="1:32">
      <c r="B11"/>
    </row>
    <row r="12" spans="1:32"/>
    <row r="13" spans="1:32"/>
    <row r="14" spans="1:32"/>
    <row r="15" spans="1:32"/>
    <row r="16" spans="1:32"/>
    <row r="17" spans="2:44"/>
    <row r="18" spans="2:44"/>
    <row r="19" spans="2:44" ht="21" customHeight="1">
      <c r="AA19" s="208"/>
      <c r="AR19" s="208"/>
    </row>
    <row r="20" spans="2:44" ht="14.85" customHeight="1">
      <c r="AA20" s="208"/>
      <c r="AR20" s="208"/>
    </row>
    <row r="21" spans="2:44" ht="14.85" customHeight="1"/>
    <row r="22" spans="2:44" ht="14.85" customHeight="1">
      <c r="B22" s="785" t="s">
        <v>28</v>
      </c>
      <c r="C22" s="785"/>
      <c r="D22" s="785"/>
      <c r="F22" s="785" t="s">
        <v>2381</v>
      </c>
      <c r="G22" s="785"/>
      <c r="H22" s="785"/>
      <c r="J22" s="785" t="s">
        <v>2382</v>
      </c>
      <c r="K22" s="785"/>
      <c r="L22" s="785"/>
      <c r="N22" s="785" t="s">
        <v>3236</v>
      </c>
      <c r="O22" s="785"/>
      <c r="P22" s="785"/>
    </row>
    <row r="23" spans="2:44" ht="21" customHeight="1">
      <c r="B23" s="785"/>
      <c r="C23" s="785"/>
      <c r="D23" s="785"/>
      <c r="F23" s="785"/>
      <c r="G23" s="785"/>
      <c r="H23" s="785"/>
      <c r="J23" s="785"/>
      <c r="K23" s="785"/>
      <c r="L23" s="785"/>
      <c r="N23" s="785"/>
      <c r="O23" s="785"/>
      <c r="P23" s="785"/>
    </row>
    <row r="24" spans="2:44" ht="21" customHeight="1">
      <c r="B24" s="367"/>
      <c r="C24" s="367"/>
      <c r="D24" s="367"/>
      <c r="F24" s="367"/>
      <c r="G24" s="367"/>
      <c r="H24" s="367"/>
      <c r="J24" s="367"/>
      <c r="K24" s="367"/>
      <c r="L24" s="367"/>
      <c r="N24" s="367"/>
      <c r="O24" s="367"/>
      <c r="P24" s="367"/>
      <c r="R24" s="367"/>
      <c r="S24" s="367"/>
      <c r="T24" s="367"/>
    </row>
    <row r="25" spans="2:44" ht="21" customHeight="1">
      <c r="B25" s="367"/>
      <c r="C25" s="367"/>
      <c r="D25" s="367"/>
      <c r="F25" s="367"/>
      <c r="G25" s="367"/>
      <c r="H25" s="367"/>
      <c r="J25" s="367"/>
      <c r="K25" s="367"/>
      <c r="L25" s="367"/>
      <c r="N25" s="367"/>
      <c r="O25" s="367"/>
      <c r="P25" s="367"/>
      <c r="R25" s="367"/>
      <c r="S25" s="367"/>
      <c r="T25" s="367"/>
      <c r="AB25" s="29"/>
    </row>
    <row r="26" spans="2:44" ht="21" customHeight="1">
      <c r="B26" s="367"/>
      <c r="C26" s="367"/>
      <c r="D26" s="367"/>
      <c r="F26" s="367"/>
      <c r="G26" s="367"/>
      <c r="H26" s="367"/>
      <c r="J26" s="367"/>
      <c r="K26" s="367"/>
      <c r="L26" s="367"/>
      <c r="N26" s="367"/>
      <c r="O26" s="367"/>
      <c r="P26" s="367"/>
      <c r="R26" s="367"/>
      <c r="S26" s="367"/>
      <c r="T26" s="367"/>
    </row>
    <row r="27" spans="2:44" ht="21" customHeight="1">
      <c r="B27" s="367"/>
      <c r="C27" s="367"/>
      <c r="D27" s="367"/>
      <c r="F27" s="367"/>
      <c r="G27" s="367"/>
      <c r="H27" s="367"/>
      <c r="J27" s="367"/>
      <c r="K27" s="367"/>
      <c r="L27" s="367"/>
      <c r="N27" s="367"/>
      <c r="O27" s="367"/>
      <c r="P27" s="367"/>
      <c r="R27" s="367"/>
      <c r="S27" s="367"/>
      <c r="T27" s="367"/>
    </row>
    <row r="28" spans="2:44" ht="21" customHeight="1">
      <c r="B28" s="367"/>
      <c r="C28" s="367"/>
      <c r="D28" s="367"/>
      <c r="F28" s="367"/>
      <c r="G28" s="367"/>
      <c r="H28" s="367"/>
      <c r="J28" s="367"/>
      <c r="K28" s="367"/>
      <c r="L28" s="367"/>
      <c r="N28" s="367"/>
      <c r="O28" s="367"/>
      <c r="P28" s="367"/>
      <c r="R28" s="367"/>
      <c r="S28" s="367"/>
      <c r="T28" s="367"/>
    </row>
    <row r="29" spans="2:44" ht="21" customHeight="1">
      <c r="B29" s="367"/>
      <c r="C29" s="367"/>
      <c r="D29" s="367"/>
      <c r="F29" s="367"/>
      <c r="G29" s="367"/>
      <c r="H29" s="367"/>
      <c r="J29" s="367"/>
      <c r="K29" s="367"/>
      <c r="L29" s="367"/>
      <c r="N29" s="367"/>
      <c r="O29" s="367"/>
      <c r="P29" s="367"/>
      <c r="R29" s="367"/>
      <c r="S29" s="367"/>
      <c r="T29" s="367"/>
    </row>
    <row r="30" spans="2:44" ht="21" customHeight="1">
      <c r="B30" s="367"/>
      <c r="C30" s="367"/>
      <c r="D30" s="367"/>
      <c r="F30" s="367"/>
      <c r="G30" s="367"/>
      <c r="H30" s="367"/>
      <c r="J30" s="367"/>
      <c r="K30" s="367"/>
      <c r="L30" s="367"/>
      <c r="M30" s="137"/>
      <c r="N30" s="367"/>
      <c r="O30" s="367"/>
      <c r="P30" s="367"/>
      <c r="R30" s="367"/>
      <c r="S30" s="367"/>
      <c r="T30" s="367"/>
      <c r="AB30" s="29"/>
    </row>
    <row r="31" spans="2:44" ht="21" customHeight="1">
      <c r="B31" s="367"/>
      <c r="C31" s="367"/>
      <c r="D31" s="367"/>
      <c r="F31" s="367"/>
      <c r="G31" s="367"/>
      <c r="H31" s="367"/>
      <c r="J31" s="367"/>
      <c r="K31" s="367"/>
      <c r="L31" s="367"/>
      <c r="N31" s="367"/>
      <c r="O31" s="367"/>
      <c r="P31" s="367"/>
      <c r="R31" s="367"/>
      <c r="S31" s="367"/>
      <c r="T31" s="367"/>
    </row>
    <row r="32" spans="2:44" ht="21" customHeight="1">
      <c r="B32" s="367"/>
      <c r="C32" s="367"/>
      <c r="D32" s="367"/>
      <c r="F32" s="367"/>
      <c r="G32" s="367"/>
      <c r="H32" s="367"/>
      <c r="J32" s="367"/>
      <c r="K32" s="367"/>
      <c r="L32" s="367"/>
      <c r="N32" s="367"/>
      <c r="O32" s="367"/>
      <c r="P32" s="367"/>
      <c r="R32" s="367"/>
      <c r="S32" s="367"/>
      <c r="T32" s="367"/>
    </row>
    <row r="33" spans="1:26" ht="21" customHeight="1">
      <c r="B33" s="785" t="s">
        <v>3245</v>
      </c>
      <c r="C33" s="785"/>
      <c r="D33" s="785"/>
      <c r="F33" s="785" t="s">
        <v>3246</v>
      </c>
      <c r="G33" s="785"/>
      <c r="H33" s="785"/>
      <c r="J33" s="367"/>
      <c r="K33" s="367"/>
      <c r="L33" s="367"/>
      <c r="N33" s="367"/>
      <c r="O33" s="367"/>
      <c r="P33" s="367"/>
      <c r="R33" s="367"/>
      <c r="S33" s="367"/>
      <c r="T33" s="367"/>
    </row>
    <row r="34" spans="1:26" ht="15" customHeight="1">
      <c r="B34" s="785"/>
      <c r="C34" s="785"/>
      <c r="D34" s="785"/>
      <c r="F34" s="785"/>
      <c r="G34" s="785"/>
      <c r="H34" s="785"/>
    </row>
    <row r="35" spans="1:26">
      <c r="I35"/>
    </row>
    <row r="36" spans="1:26" ht="14.85" customHeight="1">
      <c r="B36" s="266"/>
      <c r="C36" s="266"/>
      <c r="D36" s="266"/>
      <c r="E36" s="266"/>
      <c r="G36" s="266"/>
      <c r="H36" s="266"/>
      <c r="I36" s="266"/>
      <c r="J36" s="266"/>
      <c r="L36" s="266"/>
      <c r="M36" s="266"/>
      <c r="N36" s="266"/>
      <c r="O36" s="266"/>
      <c r="Q36" s="266"/>
      <c r="R36" s="266"/>
      <c r="S36" s="266"/>
      <c r="T36" s="266"/>
      <c r="U36" s="266"/>
      <c r="V36" s="266"/>
      <c r="W36" s="266"/>
    </row>
    <row r="37" spans="1:26" s="74" customFormat="1" ht="18.600000000000001" customHeight="1">
      <c r="A37" s="1"/>
      <c r="B37" s="784" t="str">
        <f>'Translate&amp;Prices&amp;Logo'!$B$234</f>
        <v>Wide ALU Frame</v>
      </c>
      <c r="C37" s="784"/>
      <c r="D37" s="784"/>
      <c r="E37" s="784"/>
      <c r="F37" s="784"/>
      <c r="G37" s="784"/>
      <c r="H37" s="266"/>
      <c r="I37" s="266"/>
      <c r="J37" s="266"/>
      <c r="L37" s="266"/>
      <c r="M37" s="266"/>
      <c r="N37" s="266"/>
      <c r="O37" s="266"/>
      <c r="Q37" s="266"/>
      <c r="R37" s="266"/>
      <c r="S37" s="266"/>
      <c r="T37" s="266"/>
      <c r="U37" s="266"/>
      <c r="V37" s="789"/>
      <c r="W37" s="789"/>
      <c r="Y37" s="790"/>
      <c r="Z37" s="790"/>
    </row>
    <row r="38" spans="1:26" ht="14.85" customHeight="1"/>
    <row r="39" spans="1:26"/>
    <row r="40" spans="1:26">
      <c r="B40"/>
    </row>
    <row r="41" spans="1:26"/>
    <row r="42" spans="1:26">
      <c r="A42" s="74"/>
    </row>
    <row r="43" spans="1:26"/>
    <row r="44" spans="1:26"/>
    <row r="45" spans="1:26"/>
    <row r="46" spans="1:26"/>
    <row r="47" spans="1:26"/>
    <row r="48" spans="1:26"/>
    <row r="49" spans="2:43"/>
    <row r="50" spans="2:43"/>
    <row r="51" spans="2:43" ht="14.45" customHeight="1">
      <c r="F51" s="497"/>
      <c r="G51" s="497"/>
      <c r="H51" s="497"/>
      <c r="K51" s="497"/>
      <c r="L51" s="497"/>
      <c r="N51" s="785"/>
      <c r="O51" s="785"/>
      <c r="P51" s="785"/>
    </row>
    <row r="52" spans="2:43" ht="14.45" customHeight="1">
      <c r="B52" s="785" t="s">
        <v>2386</v>
      </c>
      <c r="C52" s="785"/>
      <c r="D52" s="785"/>
      <c r="F52" s="785" t="s">
        <v>2387</v>
      </c>
      <c r="G52" s="785"/>
      <c r="H52" s="497"/>
      <c r="J52" s="785" t="s">
        <v>2384</v>
      </c>
      <c r="K52" s="785"/>
      <c r="L52" s="497"/>
      <c r="N52" s="785"/>
      <c r="O52" s="785"/>
      <c r="P52" s="785"/>
    </row>
    <row r="53" spans="2:43" ht="18" customHeight="1">
      <c r="B53" s="785"/>
      <c r="C53" s="785"/>
      <c r="D53" s="785"/>
      <c r="F53" s="785"/>
      <c r="G53" s="785"/>
      <c r="J53" s="785"/>
      <c r="K53" s="785"/>
      <c r="L53" s="497"/>
      <c r="V53" s="784" t="str">
        <f>'Translate&amp;Prices&amp;Logo'!$B$294</f>
        <v>Minimum distance of hinge</v>
      </c>
      <c r="W53" s="784"/>
      <c r="X53" s="784"/>
      <c r="Y53" s="784"/>
      <c r="Z53" s="784"/>
      <c r="AA53" s="784"/>
      <c r="AF53" s="193"/>
      <c r="AQ53" s="193"/>
    </row>
    <row r="54" spans="2:43">
      <c r="I54"/>
    </row>
    <row r="55" spans="2:43">
      <c r="AF55" s="193"/>
      <c r="AQ55" s="193"/>
    </row>
    <row r="56" spans="2:43">
      <c r="B56"/>
    </row>
    <row r="57" spans="2:43">
      <c r="AC57" s="193"/>
      <c r="AD57" s="193"/>
      <c r="AE57" s="193"/>
      <c r="AF57" s="193"/>
      <c r="AQ57" s="193"/>
    </row>
    <row r="58" spans="2:43"/>
    <row r="59" spans="2:43">
      <c r="I59"/>
      <c r="AC59" s="193"/>
      <c r="AD59" s="193"/>
      <c r="AE59" s="193"/>
      <c r="AF59" s="193"/>
      <c r="AQ59" s="193"/>
    </row>
    <row r="60" spans="2:43"/>
    <row r="61" spans="2:43">
      <c r="AC61" s="193"/>
      <c r="AD61" s="193"/>
      <c r="AE61" s="193"/>
      <c r="AF61" s="193"/>
      <c r="AQ61" s="193"/>
    </row>
    <row r="62" spans="2:43"/>
    <row r="63" spans="2:43">
      <c r="C63"/>
      <c r="AC63" s="193"/>
      <c r="AD63" s="193"/>
      <c r="AE63" s="193"/>
      <c r="AF63" s="193"/>
      <c r="AQ63" s="193"/>
    </row>
    <row r="64" spans="2:43"/>
    <row r="65" spans="2:16"/>
    <row r="66" spans="2:16"/>
    <row r="67" spans="2:16" ht="14.45" customHeight="1">
      <c r="B67" s="785" t="s">
        <v>2385</v>
      </c>
      <c r="C67" s="785"/>
      <c r="D67" s="785"/>
      <c r="F67" s="785" t="s">
        <v>2383</v>
      </c>
      <c r="G67" s="785"/>
      <c r="H67" s="785"/>
      <c r="K67" s="497"/>
      <c r="L67" s="497"/>
      <c r="N67" s="785"/>
      <c r="O67" s="785"/>
      <c r="P67" s="785"/>
    </row>
    <row r="68" spans="2:16" ht="14.45" customHeight="1">
      <c r="B68" s="785"/>
      <c r="C68" s="785"/>
      <c r="D68" s="785"/>
      <c r="F68" s="785"/>
      <c r="G68" s="785"/>
      <c r="H68" s="785"/>
      <c r="J68" s="497"/>
      <c r="K68" s="497"/>
      <c r="L68" s="497"/>
      <c r="N68" s="785"/>
      <c r="O68" s="785"/>
      <c r="P68" s="785"/>
    </row>
    <row r="69" spans="2:16"/>
    <row r="70" spans="2:16"/>
    <row r="71" spans="2:16"/>
    <row r="72" spans="2:16" ht="18.75">
      <c r="B72" s="791" t="str">
        <f>'Translate&amp;Prices&amp;Logo'!$B$542</f>
        <v>Combination of 2 Profiles</v>
      </c>
      <c r="C72" s="791"/>
      <c r="D72" s="791"/>
      <c r="E72" s="791"/>
      <c r="F72" s="791"/>
      <c r="G72" s="791"/>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75">
      <c r="B92" s="791" t="str">
        <f>'Translate&amp;Prices&amp;Logo'!$B$543</f>
        <v>Dividing bars</v>
      </c>
      <c r="C92" s="791"/>
      <c r="D92" s="791"/>
      <c r="E92" s="791"/>
      <c r="F92" s="791"/>
      <c r="G92" s="791"/>
    </row>
    <row r="93" spans="2:7"/>
    <row r="94" spans="2:7"/>
    <row r="95" spans="2:7"/>
    <row r="96" spans="2:7"/>
    <row r="97"/>
    <row r="98"/>
    <row r="99"/>
    <row r="100"/>
    <row r="101"/>
    <row r="102"/>
    <row r="103"/>
    <row r="104"/>
    <row r="105"/>
    <row r="106"/>
    <row r="107"/>
    <row r="108"/>
    <row r="109"/>
    <row r="110"/>
    <row r="111"/>
  </sheetData>
  <sheetProtection algorithmName="SHA-512" hashValue="BqfBu9oXtO0aGoExzd9adB9hxvGDkFB7O7wo6fft2QqKOQitFF95sBD2tB5f58OEvKW8p55Dg1BOA9wgAFg53g==" saltValue="iybtCvnK2cInrMX5bw+5bA==" spinCount="100000" sheet="1" objects="1" scenarios="1"/>
  <mergeCells count="23">
    <mergeCell ref="B92:G92"/>
    <mergeCell ref="B33:D34"/>
    <mergeCell ref="F33:H34"/>
    <mergeCell ref="B72:G72"/>
    <mergeCell ref="B67:D68"/>
    <mergeCell ref="B52:D53"/>
    <mergeCell ref="F67:H68"/>
    <mergeCell ref="B37:G37"/>
    <mergeCell ref="F52:G53"/>
    <mergeCell ref="AC2:AF3"/>
    <mergeCell ref="N67:P68"/>
    <mergeCell ref="N51:P52"/>
    <mergeCell ref="N22:P23"/>
    <mergeCell ref="K2:Q3"/>
    <mergeCell ref="V37:W37"/>
    <mergeCell ref="Y37:Z37"/>
    <mergeCell ref="B8:G8"/>
    <mergeCell ref="B22:D23"/>
    <mergeCell ref="V53:AA53"/>
    <mergeCell ref="F22:H23"/>
    <mergeCell ref="V8:AA8"/>
    <mergeCell ref="J22:L23"/>
    <mergeCell ref="J52:K53"/>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RowColHeaders="0" showZeros="0" workbookViewId="0">
      <selection activeCell="AL2" sqref="AL2:AP3"/>
    </sheetView>
  </sheetViews>
  <sheetFormatPr defaultColWidth="0" defaultRowHeight="14.85" customHeight="1" zeroHeight="1"/>
  <cols>
    <col min="1" max="14" width="4.42578125" style="1" customWidth="1"/>
    <col min="15" max="15" width="5.42578125" style="1" customWidth="1"/>
    <col min="16" max="20" width="4.42578125" style="1" customWidth="1"/>
    <col min="21" max="26" width="5.140625" style="1" customWidth="1"/>
    <col min="27" max="30" width="4.42578125" style="1" customWidth="1"/>
    <col min="31" max="31" width="4.42578125" style="82" customWidth="1"/>
    <col min="32" max="32" width="4.42578125" style="77" customWidth="1"/>
    <col min="33" max="39" width="4.42578125" style="1" customWidth="1"/>
    <col min="40" max="40" width="5.28515625" style="1" customWidth="1"/>
    <col min="41" max="41" width="6.85546875" style="1" customWidth="1"/>
    <col min="42" max="42" width="4.42578125" style="1" customWidth="1"/>
    <col min="43" max="46" width="8.5703125" style="1" hidden="1" customWidth="1"/>
    <col min="47" max="47" width="12.140625" style="1" hidden="1" customWidth="1"/>
    <col min="48" max="52" width="8.5703125" style="1" hidden="1" customWidth="1"/>
    <col min="53" max="53" width="8.85546875" style="81" hidden="1" customWidth="1"/>
    <col min="54" max="54" width="8.5703125" style="81" hidden="1" customWidth="1"/>
    <col min="55" max="55" width="8.5703125" style="1" hidden="1" customWidth="1"/>
    <col min="56" max="56" width="11.28515625" style="1" hidden="1" customWidth="1"/>
    <col min="57" max="58" width="8.5703125" style="1" hidden="1" customWidth="1"/>
    <col min="59" max="59" width="12.5703125" style="1" hidden="1" customWidth="1"/>
    <col min="60" max="60" width="12.85546875" style="1" hidden="1" customWidth="1"/>
    <col min="61" max="61" width="16" style="1" hidden="1" customWidth="1"/>
    <col min="62" max="16384" width="8.5703125" style="1" hidden="1"/>
  </cols>
  <sheetData>
    <row r="1" spans="1:61" ht="15">
      <c r="A1" s="174"/>
      <c r="B1" s="174"/>
      <c r="C1" s="174"/>
      <c r="D1" s="174"/>
      <c r="E1" s="174"/>
      <c r="F1" s="174"/>
      <c r="G1" s="174"/>
      <c r="H1" s="174"/>
      <c r="I1" s="174"/>
      <c r="J1" s="174"/>
      <c r="K1" s="174"/>
      <c r="L1" s="174"/>
      <c r="M1" s="174"/>
      <c r="N1" s="174"/>
      <c r="O1" s="174"/>
      <c r="P1" s="174"/>
      <c r="Q1" s="174"/>
      <c r="R1" s="174"/>
      <c r="S1" s="174"/>
      <c r="T1" s="174"/>
      <c r="U1" s="174"/>
      <c r="V1" s="174"/>
      <c r="AM1" s="801">
        <f ca="1">TODAY()</f>
        <v>46049</v>
      </c>
      <c r="AN1" s="802"/>
      <c r="AO1" s="802"/>
      <c r="AP1" s="802"/>
    </row>
    <row r="2" spans="1:61" ht="14.8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517" t="str">
        <f>'Translate&amp;Prices&amp;Logo'!$B$540</f>
        <v>Main page</v>
      </c>
      <c r="AM2" s="518"/>
      <c r="AN2" s="518"/>
      <c r="AO2" s="518"/>
      <c r="AP2" s="518"/>
    </row>
    <row r="3" spans="1:61" ht="14.8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1"/>
      <c r="AF3" s="122"/>
      <c r="AG3" s="120"/>
      <c r="AH3" s="120"/>
      <c r="AI3" s="120"/>
      <c r="AJ3" s="120"/>
      <c r="AK3" s="120"/>
      <c r="AL3" s="517"/>
      <c r="AM3" s="518"/>
      <c r="AN3" s="518"/>
      <c r="AO3" s="518"/>
      <c r="AP3" s="518"/>
    </row>
    <row r="4" spans="1:61" ht="14.85" customHeight="1"/>
    <row r="5" spans="1:61" ht="14.85" customHeight="1">
      <c r="B5" s="467" t="str">
        <f>'Translate&amp;Prices&amp;Logo'!$B$249</f>
        <v>Customer</v>
      </c>
      <c r="C5" s="467"/>
      <c r="D5" s="467"/>
      <c r="E5" s="467"/>
      <c r="F5" s="467"/>
      <c r="G5" s="443"/>
      <c r="H5" s="799">
        <f>Zakaznik!$K$13</f>
        <v>0</v>
      </c>
      <c r="I5" s="799"/>
      <c r="J5" s="799"/>
      <c r="K5" s="799"/>
      <c r="L5" s="799"/>
      <c r="M5" s="799"/>
      <c r="N5" s="799"/>
      <c r="Q5" s="796" t="s">
        <v>4666</v>
      </c>
      <c r="R5" s="796"/>
      <c r="S5" s="796"/>
      <c r="T5" s="172"/>
      <c r="U5" s="799" t="str">
        <f>Zakaznik!K23</f>
        <v>Odbiór osobisty w Demos Katowice</v>
      </c>
      <c r="V5" s="799"/>
      <c r="W5" s="799"/>
      <c r="X5" s="799"/>
      <c r="Y5" s="799"/>
      <c r="Z5" s="799"/>
      <c r="AB5" s="465" t="str">
        <f>'Translate&amp;Prices&amp;Logo'!$B$178</f>
        <v>Total price of frames</v>
      </c>
      <c r="AC5" s="465"/>
      <c r="AD5" s="465"/>
      <c r="AE5" s="465"/>
      <c r="AF5" s="465"/>
      <c r="AG5" s="172"/>
      <c r="AH5" s="804">
        <f>SUM(Ram_1!$L$30,Ram_2!$L$30,Ram_3!$L$30,Ram_4!$L$30,Ram_5!$L$30,Ram_6!$L$30)</f>
        <v>0</v>
      </c>
      <c r="AI5" s="804"/>
      <c r="AJ5" s="804"/>
      <c r="AK5" s="804"/>
      <c r="AL5" s="804"/>
      <c r="AM5" s="466" t="str">
        <f>VLOOKUP('Translate&amp;Prices&amp;Logo'!D1,kombinace_1!$EV$1:$EW$6,2,0)</f>
        <v>€</v>
      </c>
      <c r="AN5" s="464"/>
      <c r="AO5" s="464"/>
      <c r="AP5" s="464"/>
      <c r="AQ5" s="464"/>
    </row>
    <row r="6" spans="1:61" ht="14.85" customHeight="1">
      <c r="B6" s="467" t="str">
        <f>'Translate&amp;Prices&amp;Logo'!$B$253</f>
        <v>ID No:</v>
      </c>
      <c r="C6" s="467"/>
      <c r="D6" s="467"/>
      <c r="E6" s="467"/>
      <c r="F6" s="467"/>
      <c r="G6" s="443"/>
      <c r="H6" s="799">
        <f>Zakaznik!$K$15</f>
        <v>0</v>
      </c>
      <c r="I6" s="799"/>
      <c r="J6" s="799"/>
      <c r="K6" s="799"/>
      <c r="L6" s="799"/>
      <c r="M6" s="799"/>
      <c r="N6" s="799"/>
      <c r="Q6" s="796" t="s">
        <v>4667</v>
      </c>
      <c r="R6" s="796"/>
      <c r="S6" s="796"/>
      <c r="T6" s="172"/>
      <c r="U6" s="794">
        <f>Zakaznik!$K$25</f>
        <v>0</v>
      </c>
      <c r="V6" s="794"/>
      <c r="W6" s="794"/>
      <c r="X6" s="794"/>
      <c r="Y6" s="794"/>
      <c r="Z6" s="794"/>
      <c r="AB6" s="803" t="str">
        <f>IF(AND(Hlavní!V39=3,Zakaznik!K23="Dostawa na adres"),"Koszty transportu","")</f>
        <v/>
      </c>
      <c r="AC6" s="803"/>
      <c r="AD6" s="803"/>
      <c r="AE6" s="803"/>
      <c r="AF6" s="803"/>
      <c r="AG6" s="172"/>
      <c r="AH6" s="797" t="str">
        <f>IF(AND(Hlavní!V39=3,Zakaznik!K23="Dostawa na adres"),BB24,"0")</f>
        <v>0</v>
      </c>
      <c r="AI6" s="797"/>
      <c r="AJ6" s="797"/>
      <c r="AK6" s="797"/>
      <c r="AL6" s="797"/>
      <c r="AM6" s="466" t="s">
        <v>4665</v>
      </c>
    </row>
    <row r="7" spans="1:61" ht="14.85" customHeight="1">
      <c r="B7" s="467" t="str">
        <f>'Translate&amp;Prices&amp;Logo'!$B$250</f>
        <v>Phone:</v>
      </c>
      <c r="C7" s="467"/>
      <c r="D7" s="467"/>
      <c r="E7" s="467"/>
      <c r="F7" s="467"/>
      <c r="G7" s="443"/>
      <c r="H7" s="799">
        <f>Zakaznik!$K$17</f>
        <v>0</v>
      </c>
      <c r="I7" s="799"/>
      <c r="J7" s="799"/>
      <c r="K7" s="799"/>
      <c r="L7" s="799"/>
      <c r="M7" s="799"/>
      <c r="N7" s="799"/>
      <c r="U7" s="794">
        <f>Zakaznik!$K$26</f>
        <v>0</v>
      </c>
      <c r="V7" s="794"/>
      <c r="W7" s="794"/>
      <c r="X7" s="794"/>
      <c r="Y7" s="794"/>
      <c r="Z7" s="794"/>
      <c r="AA7" s="159"/>
      <c r="AB7" s="796" t="str">
        <f>IF(AND(Hlavní!V39=3,Zakaznik!K23="Dostawa na adres"),"Cena razem","")</f>
        <v/>
      </c>
      <c r="AC7" s="796"/>
      <c r="AD7" s="796"/>
      <c r="AE7" s="796"/>
      <c r="AF7" s="796"/>
      <c r="AG7" s="172"/>
      <c r="AH7" s="797">
        <f>SUM(AH5:AL6)</f>
        <v>0</v>
      </c>
      <c r="AI7" s="797"/>
      <c r="AJ7" s="797"/>
      <c r="AK7" s="797"/>
      <c r="AL7" s="797"/>
      <c r="AM7" s="466" t="s">
        <v>4665</v>
      </c>
    </row>
    <row r="8" spans="1:61" ht="14.85" customHeight="1">
      <c r="K8" s="458"/>
      <c r="L8" s="458"/>
      <c r="M8" s="458"/>
      <c r="N8" s="458"/>
      <c r="O8" s="458"/>
      <c r="Q8" s="160"/>
      <c r="R8" s="459"/>
      <c r="S8" s="459"/>
      <c r="T8" s="459"/>
      <c r="U8" s="794">
        <f>Zakaznik!$K$27</f>
        <v>0</v>
      </c>
      <c r="V8" s="794"/>
      <c r="W8" s="794"/>
      <c r="X8" s="794"/>
      <c r="Y8" s="794"/>
      <c r="Z8" s="794"/>
      <c r="AA8" s="482"/>
      <c r="AB8" s="482"/>
      <c r="AC8" s="483"/>
      <c r="AD8"/>
      <c r="AE8" s="481"/>
      <c r="AF8" s="481"/>
      <c r="AG8" s="463"/>
      <c r="AH8" s="463"/>
      <c r="AI8" s="463"/>
      <c r="AJ8" s="463"/>
    </row>
    <row r="9" spans="1:61" ht="15" customHeight="1">
      <c r="B9" s="796" t="str">
        <f>'Translate&amp;Prices&amp;Logo'!$B$254</f>
        <v>Discount on frames</v>
      </c>
      <c r="C9" s="796"/>
      <c r="D9" s="796"/>
      <c r="E9" s="796"/>
      <c r="F9" s="796"/>
      <c r="G9" s="443"/>
      <c r="H9" s="798">
        <f>Zakaznik!$K$21</f>
        <v>0</v>
      </c>
      <c r="I9" s="798"/>
      <c r="J9" s="798"/>
      <c r="K9" s="798"/>
      <c r="L9" s="798"/>
      <c r="M9" s="798"/>
      <c r="N9" s="798"/>
      <c r="AA9"/>
      <c r="AB9"/>
      <c r="AC9"/>
      <c r="AD9"/>
      <c r="AE9"/>
      <c r="AF9"/>
      <c r="AG9" s="481"/>
      <c r="AH9" s="463"/>
      <c r="AI9" s="806" t="str">
        <f>IF(U5="Dostawa na adres","Cennik transportu - kliknij tutaj","")</f>
        <v/>
      </c>
      <c r="AJ9" s="807"/>
      <c r="AK9" s="807"/>
      <c r="AL9" s="807"/>
      <c r="AM9" s="807"/>
      <c r="AN9" s="485"/>
      <c r="AO9" s="485"/>
      <c r="AP9" s="485"/>
      <c r="AU9" s="1">
        <f>IF(Hlavní!$V$39=3,1,2)</f>
        <v>2</v>
      </c>
    </row>
    <row r="10" spans="1:61" ht="15" customHeight="1">
      <c r="B10" s="469">
        <f>Zakaznik!$K$21</f>
        <v>0</v>
      </c>
      <c r="C10" s="248"/>
      <c r="D10" s="248"/>
      <c r="E10" s="248"/>
      <c r="F10" s="248"/>
      <c r="AA10"/>
      <c r="AB10"/>
      <c r="AC10"/>
      <c r="AD10"/>
      <c r="AE10"/>
      <c r="AF10"/>
      <c r="AG10"/>
      <c r="AI10" s="806"/>
      <c r="AJ10" s="807"/>
      <c r="AK10" s="807"/>
      <c r="AL10" s="807"/>
      <c r="AM10" s="807"/>
      <c r="AN10" s="485"/>
      <c r="AO10" s="485"/>
      <c r="AP10" s="485"/>
      <c r="AU10" s="1">
        <f>IF(Zakaznik!K23="Dostawa na adres",1,2)</f>
        <v>2</v>
      </c>
      <c r="BD10" s="1" t="s">
        <v>4653</v>
      </c>
    </row>
    <row r="11" spans="1:61" ht="14.85" customHeight="1" thickBot="1">
      <c r="Z11"/>
      <c r="AA11"/>
      <c r="AB11"/>
      <c r="AC11"/>
      <c r="AD11"/>
      <c r="AE11" s="484"/>
      <c r="AF11" s="71"/>
      <c r="AG11"/>
      <c r="AH11"/>
      <c r="AI11"/>
      <c r="AJ11"/>
      <c r="AK11" s="805"/>
      <c r="AL11" s="805"/>
      <c r="AM11" s="805"/>
      <c r="AN11" s="485"/>
      <c r="AO11" s="485"/>
      <c r="AP11" s="485"/>
    </row>
    <row r="12" spans="1:61" ht="14.85" customHeight="1" thickTop="1">
      <c r="B12" s="261"/>
      <c r="C12" s="261"/>
      <c r="D12" s="261"/>
      <c r="E12" s="261"/>
      <c r="F12" s="261"/>
      <c r="G12" s="261"/>
      <c r="H12" s="261"/>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2"/>
      <c r="AF12" s="263"/>
      <c r="AG12" s="261"/>
      <c r="AH12" s="261"/>
      <c r="AI12" s="261"/>
      <c r="AJ12" s="261"/>
      <c r="AK12" s="261"/>
      <c r="AL12" s="261"/>
      <c r="AM12" s="261"/>
      <c r="AN12" s="261"/>
      <c r="AO12" s="261"/>
      <c r="AU12" s="68"/>
      <c r="AV12" s="68" t="s">
        <v>4639</v>
      </c>
      <c r="AW12" s="68" t="s">
        <v>4640</v>
      </c>
      <c r="AX12" s="68" t="s">
        <v>4641</v>
      </c>
      <c r="AY12" s="68" t="s">
        <v>4642</v>
      </c>
      <c r="AZ12" s="68" t="s">
        <v>4643</v>
      </c>
      <c r="BA12" s="68" t="s">
        <v>4644</v>
      </c>
      <c r="BB12" s="456" t="s">
        <v>4645</v>
      </c>
      <c r="BD12" s="68" t="s">
        <v>4647</v>
      </c>
      <c r="BE12" s="68" t="s">
        <v>4648</v>
      </c>
      <c r="BF12" s="68" t="s">
        <v>4649</v>
      </c>
      <c r="BG12" s="68" t="s">
        <v>4650</v>
      </c>
      <c r="BH12" s="68" t="s">
        <v>4651</v>
      </c>
      <c r="BI12" s="68" t="s">
        <v>4652</v>
      </c>
    </row>
    <row r="13" spans="1:61" ht="14.85" customHeight="1">
      <c r="D13" s="795" t="str">
        <f>"&lt; "&amp;'Translate&amp;Prices&amp;Logo'!$B$574&amp;" -- "&amp;Ram_1!$A$2</f>
        <v>&lt; Back -- Frame  1</v>
      </c>
      <c r="E13" s="795"/>
      <c r="F13" s="795"/>
      <c r="G13" s="795"/>
      <c r="H13" s="795"/>
      <c r="AU13" s="68" t="s">
        <v>4595</v>
      </c>
      <c r="AV13" s="68">
        <f>IF(Ram_1!H28&gt;0,Ram_1!AR14,0)</f>
        <v>0</v>
      </c>
      <c r="AW13" s="68">
        <f>IF(Ram_2!H28&gt;0,Ram_2!AR14,0)</f>
        <v>0</v>
      </c>
      <c r="AX13" s="68">
        <f>IF(Ram_3!H28&gt;0,Ram_3!AR14,0)</f>
        <v>0</v>
      </c>
      <c r="AY13" s="68">
        <f>IF(Ram_4!H28&gt;0,Ram_4!AR14,0)</f>
        <v>0</v>
      </c>
      <c r="AZ13" s="68">
        <f>IF(Ram_5!H28&gt;0,Ram_5!AR14,0)</f>
        <v>0</v>
      </c>
      <c r="BA13" s="68">
        <f>IF(Ram_6!H28&gt;0,Ram_6!AR14,0)</f>
        <v>0</v>
      </c>
      <c r="BB13" s="456">
        <f>MAX(AV13:BA14)</f>
        <v>0</v>
      </c>
      <c r="BD13" s="68">
        <v>0</v>
      </c>
      <c r="BE13" s="68">
        <v>601</v>
      </c>
      <c r="BF13" s="68">
        <v>801</v>
      </c>
      <c r="BG13" s="68">
        <v>1500</v>
      </c>
      <c r="BH13" s="68">
        <v>2000</v>
      </c>
      <c r="BI13" s="68">
        <v>2500</v>
      </c>
    </row>
    <row r="14" spans="1:61" ht="14.85" customHeight="1">
      <c r="AU14" s="68" t="s">
        <v>4596</v>
      </c>
      <c r="AV14" s="68">
        <f>IF(Ram_1!H28&gt;0,Ram_1!AI30,0)</f>
        <v>0</v>
      </c>
      <c r="AW14" s="68">
        <f>IF(Ram_2!H28&gt;0,Ram_2!AI30,0)</f>
        <v>0</v>
      </c>
      <c r="AX14" s="68">
        <f>IF(Ram_3!H28&gt;0,Ram_3!AI30,0)</f>
        <v>0</v>
      </c>
      <c r="AY14" s="68">
        <f>IF(Ram_4!H28&gt;0,Ram_4!AI30,0)</f>
        <v>0</v>
      </c>
      <c r="AZ14" s="68">
        <f>IF(Ram_5!H28&gt;0,Ram_5!AI30,0)</f>
        <v>0</v>
      </c>
      <c r="BA14" s="456">
        <f>IF(Ram_6!H28&gt;0,Ram_6!AI30,0)</f>
        <v>0</v>
      </c>
      <c r="BB14" s="456"/>
      <c r="BD14" s="68">
        <v>1</v>
      </c>
      <c r="BE14" s="68">
        <v>2</v>
      </c>
      <c r="BF14" s="68">
        <v>3</v>
      </c>
      <c r="BG14" s="68">
        <v>4</v>
      </c>
      <c r="BH14" s="68">
        <v>5</v>
      </c>
      <c r="BI14" s="68">
        <v>6</v>
      </c>
    </row>
    <row r="15" spans="1:61" ht="14.85" customHeight="1">
      <c r="BD15" s="68">
        <v>39.799999999999997</v>
      </c>
      <c r="BE15" s="68">
        <v>49.5</v>
      </c>
      <c r="BF15" s="68">
        <v>106</v>
      </c>
      <c r="BG15" s="68">
        <v>297.5</v>
      </c>
      <c r="BH15" s="68">
        <v>351</v>
      </c>
      <c r="BI15" s="68">
        <v>456.5</v>
      </c>
    </row>
    <row r="16" spans="1:61" ht="14.85" customHeight="1">
      <c r="AU16" s="800" t="s">
        <v>4659</v>
      </c>
      <c r="AV16" s="68">
        <f>IF(Ram_1!H25="",1,2)</f>
        <v>1</v>
      </c>
      <c r="AW16" s="68">
        <f>IF(Ram_2!H25="",1,2)</f>
        <v>1</v>
      </c>
      <c r="AX16" s="68">
        <f>IF(Ram_3!H25="",1,2)</f>
        <v>1</v>
      </c>
      <c r="AY16" s="68">
        <f>IF(Ram_4!H25="",1,2)</f>
        <v>1</v>
      </c>
      <c r="AZ16" s="68">
        <f>IF(Ram_5!H25="",1,2)</f>
        <v>1</v>
      </c>
      <c r="BA16" s="456">
        <f>IF(Ram_6!H25="",1,2)</f>
        <v>1</v>
      </c>
      <c r="BB16" s="456" t="e">
        <f>IF(OR(AV16=2,AW16=2,AX16=2,AY16=2,AZ16=2,BA16=2),BD17,BD26)</f>
        <v>#N/A</v>
      </c>
      <c r="BD16" s="1">
        <f>IF(BB13&gt;1,MATCH(BB13,BD13:BI13,1),0)</f>
        <v>0</v>
      </c>
    </row>
    <row r="17" spans="47:60" ht="14.85" customHeight="1">
      <c r="AU17" s="800"/>
      <c r="AV17" s="68"/>
      <c r="AW17" s="68"/>
      <c r="AX17" s="68"/>
      <c r="AY17" s="68"/>
      <c r="AZ17" s="68"/>
      <c r="BA17" s="456"/>
      <c r="BB17" s="456" t="str">
        <f>IF(OR(AV16=2,AW16=2,AX16=2,AY16=2,AZ16=2,BA16=2),"smont","demont")</f>
        <v>demont</v>
      </c>
      <c r="BD17" s="1" t="e">
        <f>IF(BD16=6,BI15,HLOOKUP(BD16,BD14:BH15,2,0))</f>
        <v>#N/A</v>
      </c>
    </row>
    <row r="18" spans="47:60" ht="14.85" customHeight="1"/>
    <row r="19" spans="47:60" ht="14.85" customHeight="1">
      <c r="AU19" s="800" t="s">
        <v>4696</v>
      </c>
      <c r="AV19" s="480" t="s">
        <v>4639</v>
      </c>
      <c r="AW19" s="68" t="s">
        <v>4640</v>
      </c>
      <c r="AX19" s="68" t="s">
        <v>4641</v>
      </c>
      <c r="AY19" s="68" t="s">
        <v>4642</v>
      </c>
      <c r="AZ19" s="68" t="s">
        <v>4643</v>
      </c>
      <c r="BA19" s="68" t="s">
        <v>4644</v>
      </c>
      <c r="BB19" s="456" t="s">
        <v>4697</v>
      </c>
    </row>
    <row r="20" spans="47:60" ht="14.85" customHeight="1">
      <c r="AU20" s="800"/>
      <c r="AV20" s="1">
        <f>Ram_1!H28</f>
        <v>0</v>
      </c>
      <c r="AW20" s="1">
        <f>Ram_2!H28</f>
        <v>0</v>
      </c>
      <c r="AX20" s="1">
        <f>Ram_3!H28</f>
        <v>0</v>
      </c>
      <c r="AY20" s="1">
        <f>Ram_4!H28</f>
        <v>0</v>
      </c>
      <c r="AZ20" s="1">
        <f>Ram_5!H28</f>
        <v>0</v>
      </c>
      <c r="BA20" s="81">
        <f>Ram_6!H28</f>
        <v>0</v>
      </c>
      <c r="BB20" s="81">
        <f>SUM(AV20:BA20)</f>
        <v>0</v>
      </c>
      <c r="BD20" s="1" t="s">
        <v>4654</v>
      </c>
    </row>
    <row r="21" spans="47:60" ht="14.85" customHeight="1">
      <c r="BB21" s="81" t="str">
        <f>IF(ISEVEN(BB20), "Sudé", "Liché")</f>
        <v>Sudé</v>
      </c>
      <c r="BD21" s="68" t="s">
        <v>4655</v>
      </c>
      <c r="BE21" s="68" t="s">
        <v>4656</v>
      </c>
      <c r="BF21" s="68" t="s">
        <v>4657</v>
      </c>
      <c r="BG21" s="68" t="s">
        <v>4658</v>
      </c>
      <c r="BH21" s="68" t="s">
        <v>4652</v>
      </c>
    </row>
    <row r="22" spans="47:60" ht="14.85" customHeight="1">
      <c r="BB22" s="81">
        <f>IF(AND(BB17="smont",BD16&gt;3),1,BB20)</f>
        <v>0</v>
      </c>
      <c r="BD22" s="68">
        <v>0</v>
      </c>
      <c r="BE22" s="68">
        <v>1001</v>
      </c>
      <c r="BF22" s="68">
        <v>1501</v>
      </c>
      <c r="BG22" s="68">
        <v>2001</v>
      </c>
      <c r="BH22" s="68">
        <v>2500</v>
      </c>
    </row>
    <row r="23" spans="47:60" ht="14.85" customHeight="1">
      <c r="BD23" s="68">
        <v>1</v>
      </c>
      <c r="BE23" s="68">
        <v>2</v>
      </c>
      <c r="BF23" s="68">
        <v>3</v>
      </c>
      <c r="BG23" s="68">
        <v>4</v>
      </c>
      <c r="BH23" s="68">
        <v>5</v>
      </c>
    </row>
    <row r="24" spans="47:60" ht="14.85" customHeight="1">
      <c r="BB24" s="81" t="str">
        <f>IFERROR((IF(BB22=1,BB16,IF(BB21="Liché",(BB20+1)*BB16/2,IF(BB21="Sudé",BB20*BB16/2)))),"")</f>
        <v/>
      </c>
      <c r="BD24" s="68">
        <v>35.35</v>
      </c>
      <c r="BE24" s="68">
        <v>49.7</v>
      </c>
      <c r="BF24" s="68">
        <v>61.2</v>
      </c>
      <c r="BG24" s="68">
        <v>95.55</v>
      </c>
      <c r="BH24" s="68">
        <v>145.55000000000001</v>
      </c>
    </row>
    <row r="25" spans="47:60" ht="14.85" customHeight="1">
      <c r="BD25" s="1">
        <f>IF(BB13&gt;1,MATCH(BB13,BD22:BH22,1),0)</f>
        <v>0</v>
      </c>
    </row>
    <row r="26" spans="47:60" ht="14.85" customHeight="1">
      <c r="BD26" s="1" t="e">
        <f>IF(BD25=5,BH24,HLOOKUP(BD25,BD23:BG24,2,0))</f>
        <v>#N/A</v>
      </c>
    </row>
    <row r="27" spans="47:60" ht="14.85" customHeight="1"/>
    <row r="28" spans="47:60" ht="14.85" customHeight="1"/>
    <row r="29" spans="47:60" ht="14.85" customHeight="1"/>
    <row r="30" spans="47:60" ht="14.85" customHeight="1"/>
    <row r="31" spans="47:60" ht="14.85" customHeight="1"/>
    <row r="32" spans="47:60" ht="14.85" customHeight="1"/>
    <row r="33" spans="2:41" ht="14.85" customHeight="1"/>
    <row r="34" spans="2:41" ht="14.85" customHeight="1"/>
    <row r="35" spans="2:41" ht="14.85" customHeight="1"/>
    <row r="36" spans="2:41" ht="14.85" customHeight="1"/>
    <row r="37" spans="2:41" ht="14.85" customHeight="1"/>
    <row r="38" spans="2:41" ht="14.85" customHeight="1">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1"/>
      <c r="AF38" s="182"/>
      <c r="AG38" s="180"/>
      <c r="AH38" s="180"/>
      <c r="AI38" s="180"/>
      <c r="AJ38" s="180"/>
      <c r="AK38" s="180"/>
      <c r="AL38" s="180"/>
      <c r="AM38" s="180"/>
      <c r="AN38" s="180"/>
      <c r="AO38" s="180"/>
    </row>
    <row r="39" spans="2:41" ht="15"/>
    <row r="40" spans="2:41" ht="15">
      <c r="D40" s="795" t="str">
        <f>"&lt; "&amp;'Translate&amp;Prices&amp;Logo'!$B$574&amp;" -- "&amp;Ram_2!$A$2</f>
        <v>&lt; Back -- Frame  2</v>
      </c>
      <c r="E40" s="795"/>
      <c r="F40" s="795"/>
      <c r="G40" s="795"/>
      <c r="H40" s="795"/>
    </row>
    <row r="41" spans="2:41" ht="15"/>
    <row r="42" spans="2:41" ht="15"/>
    <row r="43" spans="2:41" ht="15"/>
    <row r="44" spans="2:41" ht="15"/>
    <row r="45" spans="2:41" ht="15"/>
    <row r="46" spans="2:41" ht="15"/>
    <row r="47" spans="2:41" ht="15"/>
    <row r="48" spans="2:41" ht="15"/>
    <row r="49" ht="15"/>
    <row r="50" ht="15"/>
    <row r="51" ht="15"/>
    <row r="52" ht="15"/>
    <row r="53" ht="15"/>
    <row r="54" ht="15"/>
    <row r="55" ht="15"/>
    <row r="56" ht="15"/>
    <row r="57" ht="15"/>
    <row r="58" ht="15"/>
    <row r="59" ht="15"/>
    <row r="60" ht="15"/>
    <row r="61" ht="15"/>
    <row r="62" ht="15"/>
    <row r="63" ht="15"/>
    <row r="64" ht="15"/>
    <row r="65" spans="2:41" ht="15">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c r="AA65" s="180"/>
      <c r="AB65" s="180"/>
      <c r="AC65" s="180"/>
      <c r="AD65" s="180"/>
      <c r="AE65" s="181"/>
      <c r="AF65" s="182"/>
      <c r="AG65" s="180"/>
      <c r="AH65" s="180"/>
      <c r="AI65" s="180"/>
      <c r="AJ65" s="180"/>
      <c r="AK65" s="180"/>
      <c r="AL65" s="180"/>
      <c r="AM65" s="180"/>
      <c r="AN65" s="180"/>
      <c r="AO65" s="180"/>
    </row>
    <row r="66" spans="2:41" ht="15"/>
    <row r="67" spans="2:41" ht="15">
      <c r="D67" s="795" t="str">
        <f>"&lt; "&amp;'Translate&amp;Prices&amp;Logo'!$B$574&amp;" -- "&amp;Ram_3!$A$2</f>
        <v>&lt; Back -- Frame  3</v>
      </c>
      <c r="E67" s="795"/>
      <c r="F67" s="795"/>
      <c r="G67" s="795"/>
      <c r="H67" s="795"/>
    </row>
    <row r="68" spans="2:41" ht="15"/>
    <row r="69" spans="2:41" ht="15"/>
    <row r="70" spans="2:41" ht="15"/>
    <row r="71" spans="2:41" ht="15"/>
    <row r="72" spans="2:41" ht="15"/>
    <row r="73" spans="2:41" ht="15"/>
    <row r="74" spans="2:41" ht="15"/>
    <row r="75" spans="2:41" ht="15"/>
    <row r="76" spans="2:41" ht="15"/>
    <row r="77" spans="2:41" ht="15"/>
    <row r="78" spans="2:41" ht="15"/>
    <row r="79" spans="2:41" ht="15"/>
    <row r="80" spans="2:41" ht="15"/>
    <row r="81" spans="2:41" ht="15"/>
    <row r="82" spans="2:41" ht="15"/>
    <row r="83" spans="2:41" ht="15"/>
    <row r="84" spans="2:41" ht="15"/>
    <row r="85" spans="2:41" ht="15"/>
    <row r="86" spans="2:41" ht="15"/>
    <row r="87" spans="2:41" ht="15"/>
    <row r="88" spans="2:41" ht="15"/>
    <row r="89" spans="2:41" ht="15"/>
    <row r="90" spans="2:41" ht="15"/>
    <row r="91" spans="2:41" ht="15"/>
    <row r="92" spans="2:41" ht="15">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c r="AD92" s="180"/>
      <c r="AE92" s="181"/>
      <c r="AF92" s="182"/>
      <c r="AG92" s="180"/>
      <c r="AH92" s="180"/>
      <c r="AI92" s="180"/>
      <c r="AJ92" s="180"/>
      <c r="AK92" s="180"/>
      <c r="AL92" s="180"/>
      <c r="AM92" s="180"/>
      <c r="AN92" s="180"/>
      <c r="AO92" s="180"/>
    </row>
    <row r="93" spans="2:41" ht="14.85" customHeight="1"/>
    <row r="94" spans="2:41" ht="14.85" customHeight="1">
      <c r="D94" s="795" t="str">
        <f>"&lt; "&amp;'Translate&amp;Prices&amp;Logo'!$B$574&amp;" -- "&amp;Ram_4!$A$2</f>
        <v>&lt; Back -- Frame  4</v>
      </c>
      <c r="E94" s="795"/>
      <c r="F94" s="795"/>
      <c r="G94" s="795"/>
      <c r="H94" s="795"/>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c r="AA119" s="180"/>
      <c r="AB119" s="180"/>
      <c r="AC119" s="180"/>
      <c r="AD119" s="180"/>
      <c r="AE119" s="181"/>
      <c r="AF119" s="182"/>
      <c r="AG119" s="180"/>
      <c r="AH119" s="180"/>
      <c r="AI119" s="180"/>
      <c r="AJ119" s="180"/>
      <c r="AK119" s="180"/>
      <c r="AL119" s="180"/>
      <c r="AM119" s="180"/>
      <c r="AN119" s="180"/>
      <c r="AO119" s="180"/>
    </row>
    <row r="120" spans="2:41" ht="14.85" customHeight="1"/>
    <row r="121" spans="2:41" ht="14.85" customHeight="1">
      <c r="D121" s="795" t="str">
        <f>"&lt; "&amp;'Translate&amp;Prices&amp;Logo'!$B$574&amp;" -- "&amp;Ram_5!$A$2</f>
        <v>&lt; Back -- Frame  5</v>
      </c>
      <c r="E121" s="795"/>
      <c r="F121" s="795"/>
      <c r="G121" s="795"/>
      <c r="H121" s="795"/>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C146" s="180"/>
      <c r="AD146" s="180"/>
      <c r="AE146" s="181"/>
      <c r="AF146" s="182"/>
      <c r="AG146" s="180"/>
      <c r="AH146" s="180"/>
      <c r="AI146" s="180"/>
      <c r="AJ146" s="180"/>
      <c r="AK146" s="180"/>
      <c r="AL146" s="180"/>
      <c r="AM146" s="180"/>
      <c r="AN146" s="180"/>
      <c r="AO146" s="180"/>
    </row>
    <row r="147" spans="2:41" ht="14.85" customHeight="1"/>
    <row r="148" spans="2:41" ht="14.85" customHeight="1">
      <c r="D148" s="795" t="str">
        <f>"&lt; "&amp;'Translate&amp;Prices&amp;Logo'!$B$574&amp;" -- "&amp;Ram_6!$A$2</f>
        <v>&lt; Back -- Frame  6</v>
      </c>
      <c r="E148" s="795"/>
      <c r="F148" s="795"/>
      <c r="G148" s="795"/>
      <c r="H148" s="795"/>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1"/>
      <c r="AF173" s="182"/>
      <c r="AG173" s="180"/>
      <c r="AH173" s="180"/>
      <c r="AI173" s="180"/>
      <c r="AJ173" s="180"/>
      <c r="AK173" s="180"/>
      <c r="AL173" s="180"/>
      <c r="AM173" s="180"/>
      <c r="AN173" s="180"/>
      <c r="AO173" s="180"/>
    </row>
    <row r="174" spans="2:41" ht="14.85" customHeight="1"/>
    <row r="175" spans="2:41" ht="32.85" customHeight="1">
      <c r="J175" s="792" t="str">
        <f>'Translate&amp;Prices&amp;Logo'!$B$178</f>
        <v>Total price of frames</v>
      </c>
      <c r="K175" s="792"/>
      <c r="L175" s="792"/>
      <c r="M175" s="792"/>
      <c r="N175" s="792"/>
      <c r="O175" s="792"/>
      <c r="P175" s="792"/>
      <c r="Q175" s="792"/>
      <c r="R175" s="792"/>
      <c r="S175" s="792"/>
      <c r="T175" s="792"/>
      <c r="U175" s="792"/>
      <c r="V175" s="792"/>
      <c r="W175" s="792"/>
      <c r="X175" s="792"/>
      <c r="Y175" s="792"/>
      <c r="Z175" s="260"/>
      <c r="AA175" s="793">
        <f>SUM(Ram_1!$L$30,Ram_2!$L$30,Ram_3!$L$30,Ram_4!$L$30,Ram_5!$L$30,Ram_6!$L$30)</f>
        <v>0</v>
      </c>
      <c r="AB175" s="793"/>
      <c r="AC175" s="793"/>
      <c r="AD175" s="793"/>
      <c r="AE175" s="793"/>
      <c r="AF175" s="793"/>
      <c r="AG175" s="793"/>
      <c r="AH175" s="793"/>
      <c r="AI175" s="793"/>
      <c r="AJ175" s="793"/>
      <c r="AK175" s="793"/>
      <c r="AL175" s="793"/>
      <c r="AM175" s="793"/>
    </row>
    <row r="176" spans="2:41" ht="14.85" customHeight="1"/>
    <row r="177" ht="14.85" customHeight="1"/>
    <row r="178" ht="14.85" customHeight="1"/>
  </sheetData>
  <sheetProtection algorithmName="SHA-512" hashValue="gFsKdZk8/RFNf07TJy8a70nD50jD3wbhl5WxsVK9itIt66+aruMzeJnvdd3/5CLpZXYD3XiujFSth2DdtwtnTw==" saltValue="y5xdqHG5blAZBfL8jl9qVg==" spinCount="100000" sheet="1" objects="1" scenarios="1"/>
  <mergeCells count="30">
    <mergeCell ref="H5:N5"/>
    <mergeCell ref="H6:N6"/>
    <mergeCell ref="AU19:AU20"/>
    <mergeCell ref="AM1:AP1"/>
    <mergeCell ref="AL2:AP3"/>
    <mergeCell ref="Q5:S5"/>
    <mergeCell ref="Q6:S6"/>
    <mergeCell ref="U5:Z5"/>
    <mergeCell ref="U6:Z6"/>
    <mergeCell ref="AB6:AF6"/>
    <mergeCell ref="AH5:AL5"/>
    <mergeCell ref="AH6:AL6"/>
    <mergeCell ref="AU16:AU17"/>
    <mergeCell ref="AK11:AM11"/>
    <mergeCell ref="AI9:AM10"/>
    <mergeCell ref="H7:N7"/>
    <mergeCell ref="J175:Y175"/>
    <mergeCell ref="AA175:AM175"/>
    <mergeCell ref="U7:Z7"/>
    <mergeCell ref="D121:H121"/>
    <mergeCell ref="D148:H148"/>
    <mergeCell ref="D13:H13"/>
    <mergeCell ref="D40:H40"/>
    <mergeCell ref="D67:H67"/>
    <mergeCell ref="D94:H94"/>
    <mergeCell ref="B9:F9"/>
    <mergeCell ref="U8:Z8"/>
    <mergeCell ref="AB7:AF7"/>
    <mergeCell ref="AH7:AL7"/>
    <mergeCell ref="H9:N9"/>
  </mergeCells>
  <phoneticPr fontId="17" type="noConversion"/>
  <conditionalFormatting sqref="Q5:Z5">
    <cfRule type="expression" dxfId="127" priority="6">
      <formula>$AU$9=2</formula>
    </cfRule>
  </conditionalFormatting>
  <conditionalFormatting sqref="Q6:AM8">
    <cfRule type="expression" dxfId="126"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 ref="AI9:AL10" location="Hlavní!A1" display="Hlavní!A1" xr:uid="{7C29157E-7323-4FE3-97F8-04587290205B}"/>
    <hyperlink ref="AI9:AM10" location="'cennik transportu PL'!A2" display="'cennik transportu PL'!A2" xr:uid="{CEC6DC7E-EC15-40B1-B201-C982258B190B}"/>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zoomScaleNormal="100" workbookViewId="0">
      <selection activeCell="AT2" sqref="AT2:AW3"/>
    </sheetView>
  </sheetViews>
  <sheetFormatPr defaultColWidth="0" defaultRowHeight="16.5" customHeight="1"/>
  <cols>
    <col min="1" max="30" width="4.42578125" style="1" customWidth="1"/>
    <col min="31" max="31" width="4.42578125" style="82" customWidth="1"/>
    <col min="32" max="32" width="4.42578125" style="77" customWidth="1"/>
    <col min="33" max="50" width="4.42578125" style="1" customWidth="1"/>
    <col min="51" max="16384" width="8.5703125" style="1" hidden="1"/>
  </cols>
  <sheetData>
    <row r="1" spans="1:50" ht="15">
      <c r="A1" s="174"/>
      <c r="B1" s="174"/>
      <c r="C1" s="174"/>
      <c r="D1" s="174"/>
      <c r="E1" s="174"/>
      <c r="F1" s="174"/>
      <c r="G1" s="174"/>
      <c r="H1" s="174"/>
      <c r="I1" s="174"/>
      <c r="J1" s="174"/>
      <c r="K1" s="174"/>
      <c r="L1" s="174"/>
      <c r="M1" s="174"/>
      <c r="N1" s="174"/>
      <c r="O1" s="174"/>
      <c r="P1" s="174"/>
      <c r="Q1" s="174"/>
      <c r="R1" s="174"/>
      <c r="S1" s="174"/>
      <c r="T1" s="174"/>
      <c r="U1" s="174"/>
      <c r="V1" s="174"/>
      <c r="AP1" s="174"/>
      <c r="AQ1" s="174"/>
      <c r="AR1" s="174"/>
      <c r="AS1" s="174"/>
      <c r="AT1" s="174"/>
      <c r="AU1" s="174"/>
      <c r="AV1" s="174"/>
      <c r="AW1" s="174"/>
      <c r="AX1" s="174"/>
    </row>
    <row r="2" spans="1:50" ht="15.7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120"/>
      <c r="AM2" s="120"/>
      <c r="AN2" s="120"/>
      <c r="AO2" s="120"/>
      <c r="AP2" s="120"/>
      <c r="AQ2" s="120"/>
      <c r="AR2" s="120"/>
      <c r="AS2" s="175"/>
      <c r="AT2" s="812" t="str">
        <f>'Translate&amp;Prices&amp;Logo'!$B$540</f>
        <v>Main page</v>
      </c>
      <c r="AU2" s="812"/>
      <c r="AV2" s="812"/>
      <c r="AW2" s="812"/>
      <c r="AX2" s="175"/>
    </row>
    <row r="3" spans="1:50" ht="15.7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1"/>
      <c r="AF3" s="122"/>
      <c r="AG3" s="120"/>
      <c r="AH3" s="120"/>
      <c r="AI3" s="120"/>
      <c r="AJ3" s="120"/>
      <c r="AK3" s="120"/>
      <c r="AL3" s="120"/>
      <c r="AM3" s="120"/>
      <c r="AN3" s="120"/>
      <c r="AO3" s="120"/>
      <c r="AP3" s="120"/>
      <c r="AQ3" s="120"/>
      <c r="AR3" s="120"/>
      <c r="AS3" s="175"/>
      <c r="AT3" s="812"/>
      <c r="AU3" s="812"/>
      <c r="AV3" s="812"/>
      <c r="AW3" s="812"/>
      <c r="AX3" s="175"/>
    </row>
    <row r="4" spans="1:50" ht="6.6" customHeight="1">
      <c r="A4" s="174"/>
      <c r="B4" s="174"/>
      <c r="C4" s="174"/>
      <c r="D4" s="174"/>
      <c r="E4" s="174"/>
      <c r="F4" s="174"/>
      <c r="G4" s="174"/>
      <c r="H4" s="174"/>
      <c r="I4" s="174"/>
      <c r="P4" s="693"/>
      <c r="Q4" s="693"/>
      <c r="R4" s="693"/>
      <c r="S4" s="693"/>
      <c r="T4" s="693"/>
      <c r="U4" s="693"/>
      <c r="V4" s="693"/>
      <c r="W4" s="693"/>
      <c r="X4" s="693"/>
      <c r="Y4" s="693"/>
      <c r="Z4" s="693"/>
      <c r="AA4" s="693"/>
      <c r="AB4" s="693"/>
      <c r="AC4" s="693"/>
      <c r="AD4" s="693"/>
      <c r="AP4" s="174"/>
      <c r="AQ4" s="174"/>
      <c r="AR4" s="174"/>
      <c r="AS4" s="174"/>
      <c r="AT4" s="174"/>
      <c r="AU4" s="174"/>
      <c r="AV4" s="174"/>
      <c r="AW4" s="174"/>
    </row>
    <row r="5" spans="1:50" ht="15" customHeight="1">
      <c r="A5" s="174"/>
      <c r="B5" s="174"/>
      <c r="C5" s="174"/>
      <c r="D5" s="174"/>
      <c r="E5" s="174"/>
      <c r="F5" s="174"/>
      <c r="G5" s="174"/>
      <c r="H5" s="174"/>
      <c r="I5" s="174"/>
      <c r="P5" s="693"/>
      <c r="Q5" s="693"/>
      <c r="R5" s="693"/>
      <c r="S5" s="693"/>
      <c r="T5" s="693"/>
      <c r="U5" s="693"/>
      <c r="V5" s="693"/>
      <c r="W5" s="693"/>
      <c r="X5" s="693"/>
      <c r="Y5" s="693"/>
      <c r="Z5" s="693"/>
      <c r="AA5" s="693"/>
      <c r="AB5" s="693"/>
      <c r="AC5" s="693"/>
      <c r="AD5" s="693"/>
      <c r="AP5" s="174"/>
      <c r="AQ5" s="174"/>
      <c r="AR5" s="174"/>
      <c r="AS5" s="174"/>
      <c r="AT5" s="174"/>
      <c r="AU5" s="174"/>
      <c r="AV5" s="174"/>
      <c r="AW5" s="174"/>
    </row>
    <row r="6" spans="1:50" ht="15">
      <c r="A6" s="174"/>
      <c r="B6" s="174"/>
      <c r="C6" s="174"/>
      <c r="D6" s="174"/>
      <c r="E6" s="174"/>
      <c r="F6" s="174"/>
      <c r="G6" s="174"/>
      <c r="H6" s="174"/>
      <c r="I6" s="174"/>
      <c r="J6" s="174"/>
      <c r="K6" s="174"/>
      <c r="L6" s="174"/>
      <c r="M6" s="174"/>
      <c r="N6" s="174"/>
      <c r="O6" s="174"/>
      <c r="P6" s="174"/>
      <c r="Q6" s="174"/>
      <c r="R6" s="174"/>
      <c r="S6" s="174"/>
      <c r="T6" s="174"/>
      <c r="U6" s="174"/>
      <c r="V6" s="174"/>
      <c r="AP6" s="174"/>
      <c r="AQ6" s="174"/>
      <c r="AR6" s="174"/>
      <c r="AS6" s="174"/>
      <c r="AT6" s="174"/>
      <c r="AU6" s="174"/>
      <c r="AV6" s="174"/>
      <c r="AW6" s="174"/>
      <c r="AX6" s="174"/>
    </row>
    <row r="7" spans="1:50" ht="14.85" customHeight="1"/>
    <row r="8" spans="1:50" ht="14.85" customHeight="1"/>
    <row r="9" spans="1:50" ht="14.85" customHeight="1"/>
    <row r="10" spans="1:50" s="139" customFormat="1" ht="14.85" customHeight="1"/>
    <row r="11" spans="1:50" ht="14.85" customHeight="1"/>
    <row r="12" spans="1:50" ht="14.85" customHeight="1"/>
    <row r="13" spans="1:50" ht="14.85" customHeight="1"/>
    <row r="14" spans="1:50" ht="14.85" customHeight="1"/>
    <row r="15" spans="1:50" ht="14.85" customHeight="1"/>
    <row r="16" spans="1:50" s="139"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139" customFormat="1" ht="14.85" customHeight="1"/>
    <row r="26" spans="2:50" ht="14.85" customHeight="1"/>
    <row r="27" spans="2:50" ht="14.85" customHeight="1"/>
    <row r="28" spans="2:50" ht="14.85" customHeight="1"/>
    <row r="29" spans="2:50" s="139" customFormat="1" ht="12">
      <c r="AQ29" s="813"/>
      <c r="AR29" s="813"/>
      <c r="AS29" s="813"/>
    </row>
    <row r="30" spans="2:50" ht="17.100000000000001" customHeight="1">
      <c r="B30" s="808" t="s">
        <v>379</v>
      </c>
      <c r="C30" s="808"/>
      <c r="D30" s="808"/>
      <c r="E30" s="808"/>
      <c r="F30" s="808"/>
      <c r="G30" s="808"/>
      <c r="H30" s="808"/>
      <c r="I30" s="808"/>
      <c r="J30" s="808"/>
      <c r="K30" s="808"/>
      <c r="L30" s="808"/>
      <c r="M30" s="808"/>
      <c r="N30" s="808"/>
      <c r="O30" s="808"/>
      <c r="P30" s="808"/>
      <c r="Q30" s="808"/>
      <c r="R30" s="808"/>
      <c r="S30" s="808"/>
      <c r="T30" s="808"/>
      <c r="U30" s="808"/>
      <c r="V30" s="808"/>
      <c r="W30" s="808"/>
      <c r="X30" s="808"/>
      <c r="Y30" s="808"/>
      <c r="Z30" s="808"/>
      <c r="AA30" s="808"/>
      <c r="AB30" s="808"/>
      <c r="AC30" s="808"/>
      <c r="AD30" s="808"/>
      <c r="AE30" s="808"/>
      <c r="AF30" s="808"/>
      <c r="AG30" s="808"/>
      <c r="AH30" s="808"/>
      <c r="AI30" s="808"/>
      <c r="AJ30" s="808"/>
      <c r="AK30" s="808"/>
      <c r="AL30" s="808"/>
      <c r="AM30" s="808"/>
      <c r="AN30" s="808"/>
      <c r="AO30" s="808"/>
      <c r="AP30" s="808"/>
      <c r="AQ30" s="808"/>
      <c r="AR30" s="808"/>
      <c r="AS30" s="808"/>
      <c r="AT30" s="808"/>
      <c r="AU30" s="808"/>
      <c r="AV30" s="808"/>
      <c r="AW30" s="808"/>
      <c r="AX30" s="808"/>
    </row>
    <row r="31" spans="2:50" ht="15"/>
    <row r="32" spans="2:50" ht="15">
      <c r="B32" s="139"/>
      <c r="C32" s="811" t="s">
        <v>366</v>
      </c>
      <c r="D32" s="811"/>
      <c r="E32" s="811"/>
      <c r="F32" s="811"/>
      <c r="G32" s="811"/>
      <c r="H32" s="314"/>
      <c r="I32" s="811" t="s">
        <v>367</v>
      </c>
      <c r="J32" s="811"/>
      <c r="K32" s="811"/>
      <c r="L32" s="811"/>
      <c r="M32" s="811"/>
      <c r="N32" s="314"/>
      <c r="O32" s="811" t="s">
        <v>354</v>
      </c>
      <c r="P32" s="811"/>
      <c r="Q32" s="811"/>
      <c r="R32" s="811"/>
      <c r="S32" s="811"/>
      <c r="T32" s="314"/>
      <c r="U32" s="811" t="s">
        <v>356</v>
      </c>
      <c r="V32" s="811"/>
      <c r="W32" s="811"/>
      <c r="X32" s="811"/>
      <c r="Y32" s="811"/>
      <c r="Z32" s="314"/>
      <c r="AA32" s="811" t="s">
        <v>3158</v>
      </c>
      <c r="AB32" s="811"/>
      <c r="AC32" s="811"/>
      <c r="AD32" s="811"/>
      <c r="AE32" s="811"/>
      <c r="AF32" s="314"/>
      <c r="AG32" s="811" t="s">
        <v>364</v>
      </c>
      <c r="AH32" s="811"/>
      <c r="AI32" s="811"/>
      <c r="AJ32" s="811"/>
      <c r="AK32" s="811"/>
      <c r="AL32" s="314"/>
      <c r="AM32" s="811" t="s">
        <v>365</v>
      </c>
      <c r="AN32" s="811"/>
      <c r="AO32" s="811"/>
      <c r="AP32" s="811"/>
      <c r="AQ32" s="811"/>
      <c r="AR32" s="314"/>
      <c r="AS32" s="811" t="s">
        <v>369</v>
      </c>
      <c r="AT32" s="811"/>
      <c r="AU32" s="811"/>
      <c r="AV32" s="811"/>
      <c r="AW32" s="811"/>
      <c r="AX32" s="139"/>
    </row>
    <row r="33" spans="2:71" ht="8.85" customHeight="1">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313"/>
      <c r="AF33" s="313"/>
      <c r="AG33" s="313"/>
      <c r="AH33" s="313"/>
      <c r="AI33" s="313"/>
      <c r="AJ33" s="313"/>
      <c r="AK33" s="313"/>
      <c r="AL33" s="313"/>
      <c r="AM33" s="313"/>
      <c r="AN33" s="313"/>
      <c r="AO33" s="313"/>
      <c r="AP33" s="313"/>
      <c r="AQ33" s="313"/>
      <c r="AR33" s="313"/>
      <c r="AS33" s="313"/>
      <c r="AT33" s="313"/>
      <c r="AU33" s="313"/>
      <c r="AV33" s="313"/>
      <c r="AW33" s="313"/>
    </row>
    <row r="34" spans="2:71" ht="15">
      <c r="C34" s="790"/>
      <c r="D34" s="790"/>
      <c r="E34" s="790"/>
      <c r="F34" s="790"/>
      <c r="G34" s="790"/>
      <c r="H34" s="313"/>
      <c r="I34" s="790"/>
      <c r="J34" s="790"/>
      <c r="K34" s="790"/>
      <c r="L34" s="790"/>
      <c r="M34" s="790"/>
      <c r="N34" s="313"/>
      <c r="O34" s="790"/>
      <c r="P34" s="790"/>
      <c r="Q34" s="790"/>
      <c r="R34" s="790"/>
      <c r="S34" s="790"/>
      <c r="T34" s="313"/>
      <c r="U34" s="790"/>
      <c r="V34" s="790"/>
      <c r="W34" s="790"/>
      <c r="X34" s="790"/>
      <c r="Y34" s="790"/>
      <c r="Z34" s="313"/>
      <c r="AA34" s="790"/>
      <c r="AB34" s="790"/>
      <c r="AC34" s="790"/>
      <c r="AD34" s="790"/>
      <c r="AE34" s="790"/>
      <c r="AF34" s="313"/>
      <c r="AG34" s="790"/>
      <c r="AH34" s="790"/>
      <c r="AI34" s="790"/>
      <c r="AJ34" s="790"/>
      <c r="AK34" s="790"/>
      <c r="AL34" s="313"/>
      <c r="AM34" s="790"/>
      <c r="AN34" s="790"/>
      <c r="AO34" s="790"/>
      <c r="AP34" s="790"/>
      <c r="AQ34" s="790"/>
      <c r="AR34" s="313"/>
      <c r="AS34" s="790"/>
      <c r="AT34" s="790"/>
      <c r="AU34" s="790"/>
      <c r="AV34" s="790"/>
      <c r="AW34" s="790"/>
    </row>
    <row r="35" spans="2:71" ht="14.85" customHeight="1">
      <c r="C35" s="790"/>
      <c r="D35" s="790"/>
      <c r="E35" s="790"/>
      <c r="F35" s="790"/>
      <c r="G35" s="790"/>
      <c r="H35" s="313"/>
      <c r="I35" s="790"/>
      <c r="J35" s="790"/>
      <c r="K35" s="790"/>
      <c r="L35" s="790"/>
      <c r="M35" s="790"/>
      <c r="N35" s="313"/>
      <c r="O35" s="790"/>
      <c r="P35" s="790"/>
      <c r="Q35" s="790"/>
      <c r="R35" s="790"/>
      <c r="S35" s="790"/>
      <c r="T35" s="313"/>
      <c r="U35" s="790"/>
      <c r="V35" s="790"/>
      <c r="W35" s="790"/>
      <c r="X35" s="790"/>
      <c r="Y35" s="790"/>
      <c r="Z35" s="313"/>
      <c r="AA35" s="790"/>
      <c r="AB35" s="790"/>
      <c r="AC35" s="790"/>
      <c r="AD35" s="790"/>
      <c r="AE35" s="790"/>
      <c r="AF35" s="313"/>
      <c r="AG35" s="790"/>
      <c r="AH35" s="790"/>
      <c r="AI35" s="790"/>
      <c r="AJ35" s="790"/>
      <c r="AK35" s="790"/>
      <c r="AL35" s="313"/>
      <c r="AM35" s="790"/>
      <c r="AN35" s="790"/>
      <c r="AO35" s="790"/>
      <c r="AP35" s="790"/>
      <c r="AQ35" s="790"/>
      <c r="AR35" s="313"/>
      <c r="AS35" s="790"/>
      <c r="AT35" s="790"/>
      <c r="AU35" s="790"/>
      <c r="AV35" s="790"/>
      <c r="AW35" s="790"/>
    </row>
    <row r="36" spans="2:71" ht="14.85" customHeight="1">
      <c r="C36" s="790"/>
      <c r="D36" s="790"/>
      <c r="E36" s="790"/>
      <c r="F36" s="790"/>
      <c r="G36" s="790"/>
      <c r="H36" s="313"/>
      <c r="I36" s="790"/>
      <c r="J36" s="790"/>
      <c r="K36" s="790"/>
      <c r="L36" s="790"/>
      <c r="M36" s="790"/>
      <c r="N36" s="313"/>
      <c r="O36" s="790"/>
      <c r="P36" s="790"/>
      <c r="Q36" s="790"/>
      <c r="R36" s="790"/>
      <c r="S36" s="790"/>
      <c r="T36" s="313"/>
      <c r="U36" s="790"/>
      <c r="V36" s="790"/>
      <c r="W36" s="790"/>
      <c r="X36" s="790"/>
      <c r="Y36" s="790"/>
      <c r="Z36" s="313"/>
      <c r="AA36" s="790"/>
      <c r="AB36" s="790"/>
      <c r="AC36" s="790"/>
      <c r="AD36" s="790"/>
      <c r="AE36" s="790"/>
      <c r="AF36" s="313"/>
      <c r="AG36" s="790"/>
      <c r="AH36" s="790"/>
      <c r="AI36" s="790"/>
      <c r="AJ36" s="790"/>
      <c r="AK36" s="790"/>
      <c r="AL36" s="313"/>
      <c r="AM36" s="790"/>
      <c r="AN36" s="790"/>
      <c r="AO36" s="790"/>
      <c r="AP36" s="790"/>
      <c r="AQ36" s="790"/>
      <c r="AR36" s="313"/>
      <c r="AS36" s="790"/>
      <c r="AT36" s="790"/>
      <c r="AU36" s="790"/>
      <c r="AV36" s="790"/>
      <c r="AW36" s="790"/>
    </row>
    <row r="37" spans="2:71" ht="14.85" customHeight="1">
      <c r="C37" s="313"/>
      <c r="D37" s="313"/>
      <c r="E37" s="313"/>
      <c r="F37" s="313"/>
      <c r="G37" s="313"/>
      <c r="H37" s="313"/>
      <c r="I37" s="313"/>
      <c r="J37" s="313"/>
      <c r="K37" s="313"/>
      <c r="L37" s="313"/>
      <c r="M37" s="313"/>
      <c r="N37" s="313"/>
      <c r="O37" s="313"/>
      <c r="P37" s="313"/>
      <c r="Q37" s="313"/>
      <c r="R37" s="313"/>
      <c r="S37" s="313"/>
      <c r="T37" s="313"/>
      <c r="U37" s="313"/>
      <c r="V37" s="313"/>
      <c r="W37" s="313"/>
      <c r="X37" s="313"/>
      <c r="Y37" s="313"/>
      <c r="Z37" s="313"/>
      <c r="AA37" s="313"/>
      <c r="AB37" s="313"/>
      <c r="AC37" s="313"/>
      <c r="AD37" s="313"/>
      <c r="AE37" s="315"/>
      <c r="AF37" s="316"/>
      <c r="AG37" s="313"/>
      <c r="AH37" s="313"/>
      <c r="AI37" s="313"/>
      <c r="AJ37" s="313"/>
      <c r="AK37" s="313"/>
      <c r="AL37" s="313"/>
      <c r="AM37" s="313"/>
      <c r="AN37" s="313"/>
      <c r="AO37" s="313"/>
      <c r="AP37" s="313"/>
      <c r="AQ37" s="313"/>
      <c r="AR37" s="313"/>
      <c r="AS37" s="313"/>
      <c r="AT37" s="313"/>
      <c r="AU37" s="313"/>
      <c r="AV37" s="313"/>
      <c r="AW37" s="313"/>
      <c r="BC37" s="809" t="str">
        <f>'Translate&amp;Prices&amp;Logo'!$B$257</f>
        <v>Color previews for individual RAL and REF names are indicative only!!!!</v>
      </c>
      <c r="BD37" s="809"/>
      <c r="BE37" s="809"/>
      <c r="BF37" s="809"/>
      <c r="BG37" s="809"/>
      <c r="BH37" s="809"/>
      <c r="BI37" s="809"/>
      <c r="BJ37" s="809"/>
      <c r="BK37" s="809"/>
      <c r="BL37" s="809"/>
      <c r="BM37" s="809"/>
      <c r="BN37" s="809"/>
      <c r="BO37" s="809"/>
      <c r="BP37" s="809"/>
      <c r="BQ37" s="809"/>
      <c r="BR37" s="809"/>
      <c r="BS37" s="809"/>
    </row>
    <row r="38" spans="2:71" ht="14.85" customHeight="1">
      <c r="B38" s="139"/>
      <c r="C38" s="811" t="s">
        <v>357</v>
      </c>
      <c r="D38" s="811"/>
      <c r="E38" s="811"/>
      <c r="F38" s="811"/>
      <c r="G38" s="811"/>
      <c r="H38" s="314"/>
      <c r="I38" s="811" t="s">
        <v>358</v>
      </c>
      <c r="J38" s="811"/>
      <c r="K38" s="811"/>
      <c r="L38" s="811"/>
      <c r="M38" s="811"/>
      <c r="N38" s="314"/>
      <c r="O38" s="811" t="s">
        <v>361</v>
      </c>
      <c r="P38" s="811"/>
      <c r="Q38" s="811"/>
      <c r="R38" s="811"/>
      <c r="S38" s="811"/>
      <c r="T38" s="314"/>
      <c r="U38" s="811" t="s">
        <v>363</v>
      </c>
      <c r="V38" s="811"/>
      <c r="W38" s="811"/>
      <c r="X38" s="811"/>
      <c r="Y38" s="811"/>
      <c r="Z38" s="314"/>
      <c r="AA38" s="811" t="s">
        <v>360</v>
      </c>
      <c r="AB38" s="811"/>
      <c r="AC38" s="811"/>
      <c r="AD38" s="811"/>
      <c r="AE38" s="811"/>
      <c r="AF38" s="314"/>
      <c r="AG38" s="811" t="s">
        <v>368</v>
      </c>
      <c r="AH38" s="811"/>
      <c r="AI38" s="811"/>
      <c r="AJ38" s="811"/>
      <c r="AK38" s="811"/>
      <c r="AL38" s="314"/>
      <c r="AM38" s="811" t="s">
        <v>3159</v>
      </c>
      <c r="AN38" s="811"/>
      <c r="AO38" s="811"/>
      <c r="AP38" s="811"/>
      <c r="AQ38" s="811"/>
      <c r="AR38" s="314"/>
      <c r="AS38" s="811" t="s">
        <v>3160</v>
      </c>
      <c r="AT38" s="811"/>
      <c r="AU38" s="811"/>
      <c r="AV38" s="811"/>
      <c r="AW38" s="811"/>
      <c r="AX38" s="139"/>
      <c r="BC38" s="810" t="str">
        <f>'Translate&amp;Prices&amp;Logo'!$B$329</f>
        <v>The glass sample can be ordered under the codes Lacebel VZK003P and Matelac VZK004P.</v>
      </c>
      <c r="BD38" s="810"/>
      <c r="BE38" s="810"/>
      <c r="BF38" s="810"/>
      <c r="BG38" s="810"/>
      <c r="BH38" s="810"/>
      <c r="BI38" s="810"/>
      <c r="BJ38" s="810"/>
      <c r="BK38" s="810"/>
      <c r="BL38" s="810"/>
      <c r="BM38" s="810"/>
      <c r="BN38" s="810"/>
      <c r="BO38" s="810"/>
      <c r="BP38" s="810"/>
      <c r="BQ38" s="810"/>
      <c r="BR38" s="810"/>
      <c r="BS38" s="810"/>
    </row>
    <row r="39" spans="2:71" ht="8.85" customHeight="1">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3"/>
      <c r="AD39" s="313"/>
      <c r="AE39" s="313"/>
      <c r="AF39" s="313"/>
      <c r="AG39" s="313"/>
      <c r="AH39" s="313"/>
      <c r="AI39" s="313"/>
      <c r="AJ39" s="313"/>
      <c r="AK39" s="313"/>
      <c r="AL39" s="313"/>
      <c r="AM39" s="313"/>
      <c r="AN39" s="313"/>
      <c r="AO39" s="313"/>
      <c r="AP39" s="313"/>
      <c r="AQ39" s="313"/>
      <c r="AR39" s="313"/>
      <c r="AS39" s="313"/>
      <c r="AT39" s="313"/>
      <c r="AU39" s="313"/>
      <c r="AV39" s="313"/>
      <c r="AW39" s="313"/>
    </row>
    <row r="40" spans="2:71" ht="15">
      <c r="C40" s="790"/>
      <c r="D40" s="790"/>
      <c r="E40" s="790"/>
      <c r="F40" s="790"/>
      <c r="G40" s="790"/>
      <c r="H40" s="313"/>
      <c r="I40" s="790"/>
      <c r="J40" s="790"/>
      <c r="K40" s="790"/>
      <c r="L40" s="790"/>
      <c r="M40" s="790"/>
      <c r="N40" s="313"/>
      <c r="O40" s="790"/>
      <c r="P40" s="790"/>
      <c r="Q40" s="790"/>
      <c r="R40" s="790"/>
      <c r="S40" s="790"/>
      <c r="T40" s="313"/>
      <c r="U40" s="790"/>
      <c r="V40" s="790"/>
      <c r="W40" s="790"/>
      <c r="X40" s="790"/>
      <c r="Y40" s="790"/>
      <c r="Z40" s="313"/>
      <c r="AA40" s="790"/>
      <c r="AB40" s="790"/>
      <c r="AC40" s="790"/>
      <c r="AD40" s="790"/>
      <c r="AE40" s="790"/>
      <c r="AF40" s="313"/>
      <c r="AG40" s="790"/>
      <c r="AH40" s="790"/>
      <c r="AI40" s="790"/>
      <c r="AJ40" s="790"/>
      <c r="AK40" s="790"/>
      <c r="AL40" s="313"/>
      <c r="AM40" s="790"/>
      <c r="AN40" s="790"/>
      <c r="AO40" s="790"/>
      <c r="AP40" s="790"/>
      <c r="AQ40" s="790"/>
      <c r="AR40" s="313"/>
      <c r="AS40" s="790"/>
      <c r="AT40" s="790"/>
      <c r="AU40" s="790"/>
      <c r="AV40" s="790"/>
      <c r="AW40" s="790"/>
    </row>
    <row r="41" spans="2:71" ht="14.85" customHeight="1">
      <c r="C41" s="790"/>
      <c r="D41" s="790"/>
      <c r="E41" s="790"/>
      <c r="F41" s="790"/>
      <c r="G41" s="790"/>
      <c r="H41" s="313"/>
      <c r="I41" s="790"/>
      <c r="J41" s="790"/>
      <c r="K41" s="790"/>
      <c r="L41" s="790"/>
      <c r="M41" s="790"/>
      <c r="N41" s="313"/>
      <c r="O41" s="790"/>
      <c r="P41" s="790"/>
      <c r="Q41" s="790"/>
      <c r="R41" s="790"/>
      <c r="S41" s="790"/>
      <c r="T41" s="313"/>
      <c r="U41" s="790"/>
      <c r="V41" s="790"/>
      <c r="W41" s="790"/>
      <c r="X41" s="790"/>
      <c r="Y41" s="790"/>
      <c r="Z41" s="313"/>
      <c r="AA41" s="790"/>
      <c r="AB41" s="790"/>
      <c r="AC41" s="790"/>
      <c r="AD41" s="790"/>
      <c r="AE41" s="790"/>
      <c r="AF41" s="313"/>
      <c r="AG41" s="790"/>
      <c r="AH41" s="790"/>
      <c r="AI41" s="790"/>
      <c r="AJ41" s="790"/>
      <c r="AK41" s="790"/>
      <c r="AL41" s="313"/>
      <c r="AM41" s="790"/>
      <c r="AN41" s="790"/>
      <c r="AO41" s="790"/>
      <c r="AP41" s="790"/>
      <c r="AQ41" s="790"/>
      <c r="AR41" s="313"/>
      <c r="AS41" s="790"/>
      <c r="AT41" s="790"/>
      <c r="AU41" s="790"/>
      <c r="AV41" s="790"/>
      <c r="AW41" s="790"/>
    </row>
    <row r="42" spans="2:71" ht="14.85" customHeight="1">
      <c r="C42" s="790"/>
      <c r="D42" s="790"/>
      <c r="E42" s="790"/>
      <c r="F42" s="790"/>
      <c r="G42" s="790"/>
      <c r="H42" s="313"/>
      <c r="I42" s="790"/>
      <c r="J42" s="790"/>
      <c r="K42" s="790"/>
      <c r="L42" s="790"/>
      <c r="M42" s="790"/>
      <c r="N42" s="313"/>
      <c r="O42" s="790"/>
      <c r="P42" s="790"/>
      <c r="Q42" s="790"/>
      <c r="R42" s="790"/>
      <c r="S42" s="790"/>
      <c r="T42" s="313"/>
      <c r="U42" s="790"/>
      <c r="V42" s="790"/>
      <c r="W42" s="790"/>
      <c r="X42" s="790"/>
      <c r="Y42" s="790"/>
      <c r="Z42" s="313"/>
      <c r="AA42" s="790"/>
      <c r="AB42" s="790"/>
      <c r="AC42" s="790"/>
      <c r="AD42" s="790"/>
      <c r="AE42" s="790"/>
      <c r="AF42" s="313"/>
      <c r="AG42" s="790"/>
      <c r="AH42" s="790"/>
      <c r="AI42" s="790"/>
      <c r="AJ42" s="790"/>
      <c r="AK42" s="790"/>
      <c r="AL42" s="313"/>
      <c r="AM42" s="790"/>
      <c r="AN42" s="790"/>
      <c r="AO42" s="790"/>
      <c r="AP42" s="790"/>
      <c r="AQ42" s="790"/>
      <c r="AR42" s="313"/>
      <c r="AS42" s="790"/>
      <c r="AT42" s="790"/>
      <c r="AU42" s="790"/>
      <c r="AV42" s="790"/>
      <c r="AW42" s="790"/>
    </row>
    <row r="43" spans="2:71" ht="14.85" customHeight="1">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5"/>
      <c r="AF43" s="316"/>
      <c r="AG43" s="313"/>
      <c r="AH43" s="313"/>
      <c r="AI43" s="313"/>
      <c r="AJ43" s="313"/>
      <c r="AK43" s="313"/>
      <c r="AL43" s="313"/>
      <c r="AM43" s="313"/>
      <c r="AN43" s="313"/>
      <c r="AO43" s="313"/>
      <c r="AP43" s="313"/>
      <c r="AQ43" s="313"/>
      <c r="AR43" s="313"/>
      <c r="AS43" s="313"/>
      <c r="AT43" s="313"/>
      <c r="AU43" s="313"/>
      <c r="AV43" s="313"/>
      <c r="AW43" s="313"/>
      <c r="BC43" s="809"/>
      <c r="BD43" s="809"/>
      <c r="BE43" s="809"/>
      <c r="BF43" s="809"/>
      <c r="BG43" s="809"/>
      <c r="BH43" s="809"/>
      <c r="BI43" s="809"/>
      <c r="BJ43" s="809"/>
      <c r="BK43" s="809"/>
      <c r="BL43" s="809"/>
      <c r="BM43" s="809"/>
      <c r="BN43" s="809"/>
      <c r="BO43" s="809"/>
      <c r="BP43" s="809"/>
      <c r="BQ43" s="809"/>
      <c r="BR43" s="809"/>
      <c r="BS43" s="809"/>
    </row>
    <row r="44" spans="2:71" ht="14.85" customHeight="1">
      <c r="B44" s="139"/>
      <c r="C44" s="811" t="s">
        <v>362</v>
      </c>
      <c r="D44" s="811"/>
      <c r="E44" s="811"/>
      <c r="F44" s="811"/>
      <c r="G44" s="811"/>
      <c r="H44" s="314"/>
      <c r="I44" s="811" t="s">
        <v>359</v>
      </c>
      <c r="J44" s="811"/>
      <c r="K44" s="811"/>
      <c r="L44" s="811"/>
      <c r="M44" s="811"/>
      <c r="N44" s="314"/>
      <c r="O44" s="811" t="s">
        <v>370</v>
      </c>
      <c r="P44" s="811"/>
      <c r="Q44" s="811"/>
      <c r="R44" s="811"/>
      <c r="S44" s="811"/>
      <c r="T44" s="314"/>
      <c r="U44" s="811" t="s">
        <v>3161</v>
      </c>
      <c r="V44" s="811"/>
      <c r="W44" s="811"/>
      <c r="X44" s="811"/>
      <c r="Y44" s="811"/>
      <c r="Z44" s="314"/>
      <c r="AA44" s="811" t="s">
        <v>355</v>
      </c>
      <c r="AB44" s="811"/>
      <c r="AC44" s="811"/>
      <c r="AD44" s="811"/>
      <c r="AE44" s="811"/>
      <c r="AF44" s="314"/>
      <c r="AG44" s="811" t="s">
        <v>3162</v>
      </c>
      <c r="AH44" s="811"/>
      <c r="AI44" s="811"/>
      <c r="AJ44" s="811"/>
      <c r="AK44" s="811"/>
      <c r="AL44" s="314"/>
      <c r="AM44" s="811" t="s">
        <v>3163</v>
      </c>
      <c r="AN44" s="811"/>
      <c r="AO44" s="811"/>
      <c r="AP44" s="811"/>
      <c r="AQ44" s="811"/>
      <c r="AR44" s="314"/>
      <c r="AS44" s="811" t="s">
        <v>3164</v>
      </c>
      <c r="AT44" s="811"/>
      <c r="AU44" s="811"/>
      <c r="AV44" s="811"/>
      <c r="AW44" s="811"/>
      <c r="AX44" s="139"/>
      <c r="BC44" s="810"/>
      <c r="BD44" s="810"/>
      <c r="BE44" s="810"/>
      <c r="BF44" s="810"/>
      <c r="BG44" s="810"/>
      <c r="BH44" s="810"/>
      <c r="BI44" s="810"/>
      <c r="BJ44" s="810"/>
      <c r="BK44" s="810"/>
      <c r="BL44" s="810"/>
      <c r="BM44" s="810"/>
      <c r="BN44" s="810"/>
      <c r="BO44" s="810"/>
      <c r="BP44" s="810"/>
      <c r="BQ44" s="810"/>
      <c r="BR44" s="810"/>
      <c r="BS44" s="810"/>
    </row>
    <row r="45" spans="2:71" ht="8.85" customHeight="1">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row>
    <row r="46" spans="2:71" ht="15">
      <c r="C46" s="790"/>
      <c r="D46" s="790"/>
      <c r="E46" s="790"/>
      <c r="F46" s="790"/>
      <c r="G46" s="790"/>
      <c r="H46" s="313"/>
      <c r="I46" s="790"/>
      <c r="J46" s="790"/>
      <c r="K46" s="790"/>
      <c r="L46" s="790"/>
      <c r="M46" s="790"/>
      <c r="N46" s="313"/>
      <c r="O46" s="790"/>
      <c r="P46" s="790"/>
      <c r="Q46" s="790"/>
      <c r="R46" s="790"/>
      <c r="S46" s="790"/>
      <c r="T46" s="313"/>
      <c r="U46" s="790"/>
      <c r="V46" s="790"/>
      <c r="W46" s="790"/>
      <c r="X46" s="790"/>
      <c r="Y46" s="790"/>
      <c r="Z46" s="313"/>
      <c r="AA46" s="790"/>
      <c r="AB46" s="790"/>
      <c r="AC46" s="790"/>
      <c r="AD46" s="790"/>
      <c r="AE46" s="790"/>
      <c r="AF46" s="313"/>
      <c r="AG46" s="790"/>
      <c r="AH46" s="790"/>
      <c r="AI46" s="790"/>
      <c r="AJ46" s="790"/>
      <c r="AK46" s="790"/>
      <c r="AL46" s="313"/>
      <c r="AM46" s="790"/>
      <c r="AN46" s="790"/>
      <c r="AO46" s="790"/>
      <c r="AP46" s="790"/>
      <c r="AQ46" s="790"/>
      <c r="AR46" s="313"/>
      <c r="AS46" s="790"/>
      <c r="AT46" s="790"/>
      <c r="AU46" s="790"/>
      <c r="AV46" s="790"/>
      <c r="AW46" s="790"/>
    </row>
    <row r="47" spans="2:71" ht="14.85" customHeight="1">
      <c r="C47" s="790"/>
      <c r="D47" s="790"/>
      <c r="E47" s="790"/>
      <c r="F47" s="790"/>
      <c r="G47" s="790"/>
      <c r="H47" s="313"/>
      <c r="I47" s="790"/>
      <c r="J47" s="790"/>
      <c r="K47" s="790"/>
      <c r="L47" s="790"/>
      <c r="M47" s="790"/>
      <c r="N47" s="313"/>
      <c r="O47" s="790"/>
      <c r="P47" s="790"/>
      <c r="Q47" s="790"/>
      <c r="R47" s="790"/>
      <c r="S47" s="790"/>
      <c r="T47" s="313"/>
      <c r="U47" s="790"/>
      <c r="V47" s="790"/>
      <c r="W47" s="790"/>
      <c r="X47" s="790"/>
      <c r="Y47" s="790"/>
      <c r="Z47" s="313"/>
      <c r="AA47" s="790"/>
      <c r="AB47" s="790"/>
      <c r="AC47" s="790"/>
      <c r="AD47" s="790"/>
      <c r="AE47" s="790"/>
      <c r="AF47" s="313"/>
      <c r="AG47" s="790"/>
      <c r="AH47" s="790"/>
      <c r="AI47" s="790"/>
      <c r="AJ47" s="790"/>
      <c r="AK47" s="790"/>
      <c r="AL47" s="313"/>
      <c r="AM47" s="790"/>
      <c r="AN47" s="790"/>
      <c r="AO47" s="790"/>
      <c r="AP47" s="790"/>
      <c r="AQ47" s="790"/>
      <c r="AR47" s="313"/>
      <c r="AS47" s="790"/>
      <c r="AT47" s="790"/>
      <c r="AU47" s="790"/>
      <c r="AV47" s="790"/>
      <c r="AW47" s="790"/>
    </row>
    <row r="48" spans="2:71" ht="14.85" customHeight="1">
      <c r="C48" s="790"/>
      <c r="D48" s="790"/>
      <c r="E48" s="790"/>
      <c r="F48" s="790"/>
      <c r="G48" s="790"/>
      <c r="H48" s="313"/>
      <c r="I48" s="790"/>
      <c r="J48" s="790"/>
      <c r="K48" s="790"/>
      <c r="L48" s="790"/>
      <c r="M48" s="790"/>
      <c r="N48" s="313"/>
      <c r="O48" s="790"/>
      <c r="P48" s="790"/>
      <c r="Q48" s="790"/>
      <c r="R48" s="790"/>
      <c r="S48" s="790"/>
      <c r="T48" s="313"/>
      <c r="U48" s="790"/>
      <c r="V48" s="790"/>
      <c r="W48" s="790"/>
      <c r="X48" s="790"/>
      <c r="Y48" s="790"/>
      <c r="Z48" s="313"/>
      <c r="AA48" s="790"/>
      <c r="AB48" s="790"/>
      <c r="AC48" s="790"/>
      <c r="AD48" s="790"/>
      <c r="AE48" s="790"/>
      <c r="AF48" s="313"/>
      <c r="AG48" s="790"/>
      <c r="AH48" s="790"/>
      <c r="AI48" s="790"/>
      <c r="AJ48" s="790"/>
      <c r="AK48" s="790"/>
      <c r="AL48" s="313"/>
      <c r="AM48" s="790"/>
      <c r="AN48" s="790"/>
      <c r="AO48" s="790"/>
      <c r="AP48" s="790"/>
      <c r="AQ48" s="790"/>
      <c r="AR48" s="313"/>
      <c r="AS48" s="790"/>
      <c r="AT48" s="790"/>
      <c r="AU48" s="790"/>
      <c r="AV48" s="790"/>
      <c r="AW48" s="790"/>
    </row>
    <row r="49" spans="2:71" ht="14.85" customHeight="1">
      <c r="C49" s="313"/>
      <c r="D49" s="313"/>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313"/>
      <c r="AE49" s="315"/>
      <c r="AF49" s="316"/>
      <c r="AG49" s="313"/>
      <c r="AH49" s="313"/>
      <c r="AI49" s="313"/>
      <c r="AJ49" s="313"/>
      <c r="AK49" s="313"/>
      <c r="AL49" s="313"/>
      <c r="AM49" s="313"/>
      <c r="AN49" s="313"/>
      <c r="AO49" s="313"/>
      <c r="AP49" s="313"/>
      <c r="AQ49" s="313"/>
      <c r="AR49" s="313"/>
      <c r="AS49" s="313"/>
      <c r="AT49" s="313"/>
      <c r="AU49" s="313"/>
      <c r="AV49" s="313"/>
      <c r="AW49" s="313"/>
      <c r="BC49" s="809"/>
      <c r="BD49" s="809"/>
      <c r="BE49" s="809"/>
      <c r="BF49" s="809"/>
      <c r="BG49" s="809"/>
      <c r="BH49" s="809"/>
      <c r="BI49" s="809"/>
      <c r="BJ49" s="809"/>
      <c r="BK49" s="809"/>
      <c r="BL49" s="809"/>
      <c r="BM49" s="809"/>
      <c r="BN49" s="809"/>
      <c r="BO49" s="809"/>
      <c r="BP49" s="809"/>
      <c r="BQ49" s="809"/>
      <c r="BR49" s="809"/>
      <c r="BS49" s="809"/>
    </row>
    <row r="50" spans="2:71" ht="14.85" customHeight="1"/>
    <row r="51" spans="2:71" ht="14.85" customHeight="1"/>
    <row r="52" spans="2:71" ht="17.100000000000001" customHeight="1">
      <c r="B52" s="808" t="s">
        <v>380</v>
      </c>
      <c r="C52" s="808"/>
      <c r="D52" s="808"/>
      <c r="E52" s="808"/>
      <c r="F52" s="808"/>
      <c r="G52" s="808"/>
      <c r="H52" s="808"/>
      <c r="I52" s="808"/>
      <c r="J52" s="808"/>
      <c r="K52" s="808"/>
      <c r="L52" s="808"/>
      <c r="M52" s="808"/>
      <c r="N52" s="808"/>
      <c r="O52" s="808"/>
      <c r="P52" s="808"/>
      <c r="Q52" s="808"/>
      <c r="R52" s="808"/>
      <c r="S52" s="808"/>
      <c r="T52" s="808"/>
      <c r="U52" s="808"/>
      <c r="V52" s="808"/>
      <c r="W52" s="808"/>
      <c r="X52" s="808"/>
      <c r="Y52" s="808"/>
      <c r="Z52" s="808"/>
      <c r="AA52" s="808"/>
      <c r="AB52" s="808"/>
      <c r="AC52" s="808"/>
      <c r="AD52" s="808"/>
      <c r="AE52" s="808"/>
      <c r="AF52" s="808"/>
      <c r="AG52" s="808"/>
      <c r="AH52" s="808"/>
      <c r="AI52" s="808"/>
      <c r="AJ52" s="808"/>
      <c r="AK52" s="808"/>
      <c r="AL52" s="808"/>
      <c r="AM52" s="808"/>
      <c r="AN52" s="808"/>
      <c r="AO52" s="808"/>
      <c r="AP52" s="808"/>
      <c r="AQ52" s="808"/>
      <c r="AR52" s="808"/>
      <c r="AS52" s="808"/>
      <c r="AT52" s="808"/>
      <c r="AU52" s="808"/>
      <c r="AV52" s="808"/>
      <c r="AW52" s="808"/>
      <c r="AX52" s="808"/>
    </row>
    <row r="53" spans="2:71" ht="14.85" customHeight="1">
      <c r="G53" s="140"/>
      <c r="H53" s="140"/>
      <c r="I53" s="140"/>
      <c r="J53" s="140"/>
      <c r="K53" s="140"/>
      <c r="L53" s="140"/>
      <c r="M53" s="140"/>
      <c r="N53" s="140"/>
      <c r="O53" s="140"/>
      <c r="P53" s="140"/>
      <c r="Q53" s="140"/>
      <c r="R53" s="140"/>
      <c r="S53" s="140"/>
      <c r="T53" s="140"/>
      <c r="U53" s="140"/>
      <c r="V53" s="140"/>
      <c r="W53" s="140"/>
      <c r="X53" s="140"/>
      <c r="Y53" s="140"/>
      <c r="Z53" s="140"/>
      <c r="AA53" s="140"/>
      <c r="AB53" s="140"/>
      <c r="AC53" s="140"/>
      <c r="AD53" s="140"/>
      <c r="AE53" s="140"/>
      <c r="AF53" s="140"/>
      <c r="AG53" s="140"/>
      <c r="AH53" s="140"/>
      <c r="AI53" s="140"/>
      <c r="AJ53" s="140"/>
      <c r="AK53" s="140"/>
      <c r="AU53" s="140"/>
      <c r="AV53" s="140"/>
      <c r="AW53" s="140"/>
      <c r="AX53" s="140"/>
    </row>
    <row r="54" spans="2:71" ht="14.85" customHeight="1">
      <c r="B54" s="139"/>
      <c r="H54" s="314"/>
      <c r="I54" s="811" t="s">
        <v>361</v>
      </c>
      <c r="J54" s="811"/>
      <c r="K54" s="811"/>
      <c r="L54" s="811"/>
      <c r="M54" s="811"/>
      <c r="N54" s="314"/>
      <c r="O54" s="811" t="s">
        <v>3165</v>
      </c>
      <c r="P54" s="811"/>
      <c r="Q54" s="811"/>
      <c r="R54" s="811"/>
      <c r="S54" s="811"/>
      <c r="T54" s="314"/>
      <c r="U54" s="811" t="s">
        <v>360</v>
      </c>
      <c r="V54" s="811"/>
      <c r="W54" s="811"/>
      <c r="X54" s="811"/>
      <c r="Y54" s="811"/>
      <c r="Z54" s="314"/>
      <c r="AA54" s="811" t="s">
        <v>3166</v>
      </c>
      <c r="AB54" s="811"/>
      <c r="AC54" s="811"/>
      <c r="AD54" s="811"/>
      <c r="AE54" s="811"/>
      <c r="AF54" s="314"/>
      <c r="AG54" s="811" t="s">
        <v>3167</v>
      </c>
      <c r="AH54" s="811"/>
      <c r="AI54" s="811"/>
      <c r="AJ54" s="811"/>
      <c r="AK54" s="811"/>
      <c r="AL54" s="314"/>
      <c r="AM54" s="811" t="s">
        <v>357</v>
      </c>
      <c r="AN54" s="811"/>
      <c r="AO54" s="811"/>
      <c r="AP54" s="811"/>
      <c r="AQ54" s="811"/>
      <c r="AR54" s="314"/>
      <c r="AS54" s="811"/>
      <c r="AT54" s="811"/>
      <c r="AU54" s="811"/>
      <c r="AV54" s="811"/>
      <c r="AW54" s="811"/>
      <c r="AX54" s="139"/>
      <c r="BC54" s="810"/>
      <c r="BD54" s="810"/>
      <c r="BE54" s="810"/>
      <c r="BF54" s="810"/>
      <c r="BG54" s="810"/>
      <c r="BH54" s="810"/>
      <c r="BI54" s="810"/>
      <c r="BJ54" s="810"/>
      <c r="BK54" s="810"/>
      <c r="BL54" s="810"/>
      <c r="BM54" s="810"/>
      <c r="BN54" s="810"/>
      <c r="BO54" s="810"/>
      <c r="BP54" s="810"/>
      <c r="BQ54" s="810"/>
      <c r="BR54" s="810"/>
      <c r="BS54" s="810"/>
    </row>
    <row r="55" spans="2:71" ht="8.85" customHeight="1">
      <c r="C55" s="313"/>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row>
    <row r="56" spans="2:71" ht="15">
      <c r="C56" s="790"/>
      <c r="D56" s="790"/>
      <c r="E56" s="790"/>
      <c r="F56" s="790"/>
      <c r="G56" s="790"/>
      <c r="H56" s="313"/>
      <c r="I56" s="790"/>
      <c r="J56" s="790"/>
      <c r="K56" s="790"/>
      <c r="L56" s="790"/>
      <c r="M56" s="790"/>
      <c r="N56" s="313"/>
      <c r="O56" s="790"/>
      <c r="P56" s="790"/>
      <c r="Q56" s="790"/>
      <c r="R56" s="790"/>
      <c r="S56" s="790"/>
      <c r="T56" s="313"/>
      <c r="U56" s="790"/>
      <c r="V56" s="790"/>
      <c r="W56" s="790"/>
      <c r="X56" s="790"/>
      <c r="Y56" s="790"/>
      <c r="Z56" s="313"/>
      <c r="AA56" s="790"/>
      <c r="AB56" s="790"/>
      <c r="AC56" s="790"/>
      <c r="AD56" s="790"/>
      <c r="AE56" s="790"/>
      <c r="AF56" s="313"/>
      <c r="AG56" s="790"/>
      <c r="AH56" s="790"/>
      <c r="AI56" s="790"/>
      <c r="AJ56" s="790"/>
      <c r="AK56" s="790"/>
      <c r="AL56" s="313"/>
      <c r="AM56" s="790"/>
      <c r="AN56" s="790"/>
      <c r="AO56" s="790"/>
      <c r="AP56" s="790"/>
      <c r="AQ56" s="790"/>
      <c r="AR56" s="313"/>
      <c r="AS56" s="790"/>
      <c r="AT56" s="790"/>
      <c r="AU56" s="790"/>
      <c r="AV56" s="790"/>
      <c r="AW56" s="790"/>
    </row>
    <row r="57" spans="2:71" ht="14.85" customHeight="1">
      <c r="C57" s="790"/>
      <c r="D57" s="790"/>
      <c r="E57" s="790"/>
      <c r="F57" s="790"/>
      <c r="G57" s="790"/>
      <c r="H57" s="313"/>
      <c r="I57" s="790"/>
      <c r="J57" s="790"/>
      <c r="K57" s="790"/>
      <c r="L57" s="790"/>
      <c r="M57" s="790"/>
      <c r="N57" s="313"/>
      <c r="O57" s="790"/>
      <c r="P57" s="790"/>
      <c r="Q57" s="790"/>
      <c r="R57" s="790"/>
      <c r="S57" s="790"/>
      <c r="T57" s="313"/>
      <c r="U57" s="790"/>
      <c r="V57" s="790"/>
      <c r="W57" s="790"/>
      <c r="X57" s="790"/>
      <c r="Y57" s="790"/>
      <c r="Z57" s="313"/>
      <c r="AA57" s="790"/>
      <c r="AB57" s="790"/>
      <c r="AC57" s="790"/>
      <c r="AD57" s="790"/>
      <c r="AE57" s="790"/>
      <c r="AF57" s="313"/>
      <c r="AG57" s="790"/>
      <c r="AH57" s="790"/>
      <c r="AI57" s="790"/>
      <c r="AJ57" s="790"/>
      <c r="AK57" s="790"/>
      <c r="AL57" s="313"/>
      <c r="AM57" s="790"/>
      <c r="AN57" s="790"/>
      <c r="AO57" s="790"/>
      <c r="AP57" s="790"/>
      <c r="AQ57" s="790"/>
      <c r="AR57" s="313"/>
      <c r="AS57" s="790"/>
      <c r="AT57" s="790"/>
      <c r="AU57" s="790"/>
      <c r="AV57" s="790"/>
      <c r="AW57" s="790"/>
    </row>
    <row r="58" spans="2:71" ht="14.85" customHeight="1">
      <c r="C58" s="790"/>
      <c r="D58" s="790"/>
      <c r="E58" s="790"/>
      <c r="F58" s="790"/>
      <c r="G58" s="790"/>
      <c r="H58" s="313"/>
      <c r="I58" s="790"/>
      <c r="J58" s="790"/>
      <c r="K58" s="790"/>
      <c r="L58" s="790"/>
      <c r="M58" s="790"/>
      <c r="N58" s="313"/>
      <c r="O58" s="790"/>
      <c r="P58" s="790"/>
      <c r="Q58" s="790"/>
      <c r="R58" s="790"/>
      <c r="S58" s="790"/>
      <c r="T58" s="313"/>
      <c r="U58" s="790"/>
      <c r="V58" s="790"/>
      <c r="W58" s="790"/>
      <c r="X58" s="790"/>
      <c r="Y58" s="790"/>
      <c r="Z58" s="313"/>
      <c r="AA58" s="790"/>
      <c r="AB58" s="790"/>
      <c r="AC58" s="790"/>
      <c r="AD58" s="790"/>
      <c r="AE58" s="790"/>
      <c r="AF58" s="313"/>
      <c r="AG58" s="790"/>
      <c r="AH58" s="790"/>
      <c r="AI58" s="790"/>
      <c r="AJ58" s="790"/>
      <c r="AK58" s="790"/>
      <c r="AL58" s="313"/>
      <c r="AM58" s="790"/>
      <c r="AN58" s="790"/>
      <c r="AO58" s="790"/>
      <c r="AP58" s="790"/>
      <c r="AQ58" s="790"/>
      <c r="AR58" s="313"/>
      <c r="AS58" s="790"/>
      <c r="AT58" s="790"/>
      <c r="AU58" s="790"/>
      <c r="AV58" s="790"/>
      <c r="AW58" s="790"/>
    </row>
    <row r="59" spans="2:71" ht="14.85" customHeight="1">
      <c r="C59" s="313"/>
      <c r="D59" s="313"/>
      <c r="E59" s="313"/>
      <c r="F59" s="313"/>
      <c r="G59" s="313"/>
      <c r="H59" s="313"/>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5"/>
      <c r="AF59" s="316"/>
      <c r="AG59" s="313"/>
      <c r="AH59" s="313"/>
      <c r="AI59" s="313"/>
      <c r="AJ59" s="313"/>
      <c r="AK59" s="313"/>
      <c r="AL59" s="313"/>
      <c r="AM59" s="313"/>
      <c r="AN59" s="313"/>
      <c r="AO59" s="313"/>
      <c r="AP59" s="313"/>
      <c r="AQ59" s="313"/>
      <c r="AR59" s="313"/>
      <c r="AS59" s="313"/>
      <c r="AT59" s="313"/>
      <c r="AU59" s="313"/>
      <c r="AV59" s="313"/>
      <c r="AW59" s="313"/>
      <c r="BC59" s="809"/>
      <c r="BD59" s="809"/>
      <c r="BE59" s="809"/>
      <c r="BF59" s="809"/>
      <c r="BG59" s="809"/>
      <c r="BH59" s="809"/>
      <c r="BI59" s="809"/>
      <c r="BJ59" s="809"/>
      <c r="BK59" s="809"/>
      <c r="BL59" s="809"/>
      <c r="BM59" s="809"/>
      <c r="BN59" s="809"/>
      <c r="BO59" s="809"/>
      <c r="BP59" s="809"/>
      <c r="BQ59" s="809"/>
      <c r="BR59" s="809"/>
      <c r="BS59" s="809"/>
    </row>
    <row r="60" spans="2:71" ht="14.85" customHeight="1">
      <c r="Q60" s="802"/>
      <c r="R60" s="802"/>
      <c r="S60" s="802"/>
    </row>
    <row r="62" spans="2:71" ht="16.5" customHeight="1">
      <c r="B62" s="808" t="str">
        <f>'Translate&amp;Prices&amp;Logo'!$B$653</f>
        <v>Mesh frame filler</v>
      </c>
      <c r="C62" s="808"/>
      <c r="D62" s="808"/>
      <c r="E62" s="808"/>
      <c r="F62" s="808"/>
      <c r="G62" s="808"/>
      <c r="H62" s="808"/>
      <c r="I62" s="808"/>
      <c r="J62" s="808"/>
      <c r="K62" s="808"/>
      <c r="L62" s="808"/>
      <c r="M62" s="808"/>
      <c r="N62" s="808"/>
      <c r="O62" s="808"/>
      <c r="P62" s="808"/>
      <c r="Q62" s="808"/>
      <c r="R62" s="808"/>
      <c r="S62" s="808"/>
      <c r="T62" s="808"/>
      <c r="U62" s="808"/>
      <c r="V62" s="808"/>
      <c r="W62" s="808"/>
      <c r="X62" s="808"/>
      <c r="Y62" s="808"/>
      <c r="Z62" s="808"/>
      <c r="AA62" s="808"/>
      <c r="AB62" s="808"/>
      <c r="AC62" s="808"/>
      <c r="AD62" s="808"/>
      <c r="AE62" s="808"/>
      <c r="AF62" s="808"/>
      <c r="AG62" s="808"/>
      <c r="AH62" s="808"/>
      <c r="AI62" s="808"/>
      <c r="AJ62" s="808"/>
      <c r="AK62" s="808"/>
      <c r="AL62" s="808"/>
      <c r="AM62" s="808"/>
      <c r="AN62" s="808"/>
      <c r="AO62" s="808"/>
      <c r="AP62" s="808"/>
      <c r="AQ62" s="808"/>
      <c r="AR62" s="808"/>
      <c r="AS62" s="808"/>
      <c r="AT62" s="808"/>
      <c r="AU62" s="808"/>
      <c r="AV62" s="808"/>
      <c r="AW62" s="808"/>
      <c r="AX62" s="808"/>
    </row>
    <row r="66" spans="2:2" ht="16.5" customHeight="1">
      <c r="B66" s="1" t="str">
        <f>CONCATENATE('Translate&amp;Prices&amp;Logo'!B164," - ",'Translate&amp;Prices&amp;Logo'!$B$670)</f>
        <v>mesh aluminum gold - field 10x6x1 mm - transparency 67%</v>
      </c>
    </row>
    <row r="67" spans="2:2" ht="16.5" customHeight="1">
      <c r="B67" s="1" t="str">
        <f>CONCATENATE('Translate&amp;Prices&amp;Logo'!B165," - ",'Translate&amp;Prices&amp;Logo'!$B$669)</f>
        <v>mesh steel black matt - field 8x4x1 mm - transparency 50%</v>
      </c>
    </row>
    <row r="68" spans="2:2" ht="16.5" customHeight="1">
      <c r="B68" s="1" t="str">
        <f>CONCATENATE('Translate&amp;Prices&amp;Logo'!B166," - ",'Translate&amp;Prices&amp;Logo'!$B$669)</f>
        <v>mesh steel white - field 8x4x1 mm - transparency 50%</v>
      </c>
    </row>
    <row r="69" spans="2:2" ht="16.5" customHeight="1">
      <c r="B69" s="1" t="str">
        <f>CONCATENATE('Translate&amp;Prices&amp;Logo'!B167," - ",'Translate&amp;Prices&amp;Logo'!$B$670)</f>
        <v>mesh anodized - field 10x6x1 mm - transparency 67%</v>
      </c>
    </row>
  </sheetData>
  <sheetProtection algorithmName="SHA-512" hashValue="LsdYe44qiNtQFd+3JWYl3wVQ27MvJgQGz2fb1zZ8KHj1hZ0+uc5tjilbfaGGy3hIu/aSLYTcN/X+U4T4OcIXJg==" saltValue="j3GP7RBmH4idl9bT+cSnxQ==" spinCount="100000" sheet="1" objects="1" scenarios="1"/>
  <mergeCells count="77">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 ref="BC44:BS44"/>
    <mergeCell ref="BC49:BS49"/>
    <mergeCell ref="BC43:BS43"/>
    <mergeCell ref="AG46:AK48"/>
    <mergeCell ref="BC37:BS37"/>
    <mergeCell ref="BC38:BS38"/>
    <mergeCell ref="AM46:AQ48"/>
    <mergeCell ref="AS46:AW4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C38:G38"/>
    <mergeCell ref="I38:M38"/>
    <mergeCell ref="O38:S38"/>
    <mergeCell ref="U38:Y38"/>
    <mergeCell ref="AA38:AE38"/>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B52:AX52"/>
    <mergeCell ref="AM54:AQ54"/>
    <mergeCell ref="I54:M54"/>
    <mergeCell ref="O54:S54"/>
    <mergeCell ref="U54:Y54"/>
    <mergeCell ref="AA54:AE54"/>
    <mergeCell ref="AG54:AK54"/>
    <mergeCell ref="B62:AX62"/>
    <mergeCell ref="BC59:BS59"/>
    <mergeCell ref="BC54:BS54"/>
    <mergeCell ref="C56:G58"/>
    <mergeCell ref="I56:M58"/>
    <mergeCell ref="O56:S58"/>
    <mergeCell ref="U56:Y58"/>
    <mergeCell ref="AA56:AE58"/>
    <mergeCell ref="AG56:AK58"/>
    <mergeCell ref="AM56:AQ58"/>
    <mergeCell ref="AS56:AW58"/>
    <mergeCell ref="Q60:S60"/>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Zeros="0" zoomScaleNormal="100" workbookViewId="0">
      <selection activeCell="AC9" sqref="AC9:AO9"/>
    </sheetView>
  </sheetViews>
  <sheetFormatPr defaultColWidth="0" defaultRowHeight="14.85" customHeight="1"/>
  <cols>
    <col min="1" max="11" width="4.42578125" style="1" customWidth="1"/>
    <col min="12" max="15" width="5.5703125" style="1" customWidth="1"/>
    <col min="16" max="22" width="4.42578125" style="1" customWidth="1"/>
    <col min="23" max="26" width="6.140625" style="1" customWidth="1"/>
    <col min="27" max="27" width="4" style="1" customWidth="1"/>
    <col min="28" max="28" width="2.140625" style="1" customWidth="1"/>
    <col min="29" max="30" width="6.42578125" style="1" customWidth="1"/>
    <col min="31" max="31" width="6.42578125" style="82" customWidth="1"/>
    <col min="32" max="32" width="6.42578125" style="77" customWidth="1"/>
    <col min="33" max="34" width="6.140625" style="1" customWidth="1"/>
    <col min="35" max="35" width="15.28515625" style="1" customWidth="1"/>
    <col min="36" max="37" width="6.140625" style="1" customWidth="1"/>
    <col min="38" max="41" width="6.42578125" style="1" customWidth="1"/>
    <col min="42" max="42" width="4.42578125" style="1" customWidth="1"/>
    <col min="43" max="43" width="8.5703125" style="1" customWidth="1"/>
    <col min="44" max="44" width="8.7109375" style="1" customWidth="1"/>
    <col min="45" max="52" width="8.5703125" style="1" hidden="1" customWidth="1"/>
    <col min="53" max="54" width="8.5703125" style="81" hidden="1" customWidth="1"/>
    <col min="55" max="55" width="8.5703125" style="1" hidden="1" customWidth="1"/>
    <col min="56" max="57" width="12.5703125" style="1" hidden="1" customWidth="1"/>
    <col min="58" max="60" width="8.5703125" style="1" hidden="1" customWidth="1"/>
    <col min="61" max="61" width="14.42578125" style="1" hidden="1" customWidth="1"/>
    <col min="62" max="62" width="20.28515625" style="1" hidden="1" customWidth="1"/>
    <col min="63" max="64" width="8.5703125" style="1" hidden="1" customWidth="1"/>
    <col min="65" max="65" width="21.85546875" style="1" hidden="1" customWidth="1"/>
    <col min="66" max="88" width="8.5703125" style="1" hidden="1" customWidth="1"/>
    <col min="89" max="89" width="34.28515625" style="1" hidden="1" customWidth="1"/>
    <col min="90" max="90" width="25" style="1" hidden="1" customWidth="1"/>
    <col min="91" max="16384" width="8.5703125" style="1" hidden="1"/>
  </cols>
  <sheetData>
    <row r="1" spans="1:90" ht="15">
      <c r="A1" s="174"/>
      <c r="B1" s="174"/>
      <c r="C1" s="174"/>
      <c r="D1" s="174"/>
      <c r="E1" s="174"/>
      <c r="F1" s="174"/>
      <c r="G1" s="174"/>
      <c r="H1" s="174"/>
      <c r="I1" s="174"/>
      <c r="J1" s="174"/>
      <c r="K1" s="174"/>
      <c r="L1" s="174"/>
      <c r="M1" s="174"/>
      <c r="N1" s="174"/>
      <c r="O1" s="174"/>
      <c r="P1" s="174"/>
      <c r="Q1" s="174"/>
      <c r="R1" s="174"/>
      <c r="S1" s="174"/>
      <c r="T1" s="174"/>
      <c r="U1" s="174"/>
      <c r="V1" s="174"/>
      <c r="AO1" s="801">
        <f ca="1">TODAY()</f>
        <v>46049</v>
      </c>
      <c r="AP1" s="802"/>
      <c r="AQ1" s="802"/>
      <c r="AR1" s="802"/>
    </row>
    <row r="2" spans="1:90" ht="14.85" customHeight="1">
      <c r="A2" s="175"/>
      <c r="B2" s="175"/>
      <c r="C2" s="175"/>
      <c r="D2" s="175"/>
      <c r="E2" s="175"/>
      <c r="F2" s="175"/>
      <c r="G2" s="175"/>
      <c r="H2" s="175"/>
      <c r="I2" s="175"/>
      <c r="J2" s="175"/>
      <c r="K2" s="175"/>
      <c r="L2" s="175"/>
      <c r="M2" s="175"/>
      <c r="N2" s="175"/>
      <c r="O2" s="175"/>
      <c r="P2" s="175"/>
      <c r="Q2" s="175"/>
      <c r="R2" s="175"/>
      <c r="S2" s="175"/>
      <c r="T2" s="120"/>
      <c r="U2" s="120"/>
      <c r="V2" s="120"/>
      <c r="W2" s="120"/>
      <c r="X2" s="120"/>
      <c r="Y2" s="120"/>
      <c r="Z2" s="120"/>
      <c r="AA2" s="120"/>
      <c r="AB2" s="120"/>
      <c r="AC2" s="120"/>
      <c r="AD2" s="120"/>
      <c r="AE2" s="121"/>
      <c r="AF2" s="122"/>
      <c r="AG2" s="120"/>
      <c r="AH2" s="120"/>
      <c r="AI2" s="120"/>
      <c r="AJ2" s="120"/>
      <c r="AK2" s="120"/>
      <c r="AL2" s="120"/>
      <c r="AM2" s="120"/>
      <c r="AN2" s="691"/>
      <c r="AO2" s="692"/>
      <c r="AP2" s="692"/>
      <c r="AQ2" s="692"/>
      <c r="AR2" s="692"/>
      <c r="CK2" t="s">
        <v>3606</v>
      </c>
      <c r="CL2" t="s">
        <v>4315</v>
      </c>
    </row>
    <row r="3" spans="1:90" ht="14.85" customHeight="1">
      <c r="A3" s="175"/>
      <c r="B3" s="175"/>
      <c r="C3" s="175"/>
      <c r="D3" s="175"/>
      <c r="E3" s="175"/>
      <c r="F3" s="175"/>
      <c r="G3" s="175"/>
      <c r="H3" s="175"/>
      <c r="I3" s="175"/>
      <c r="J3" s="175"/>
      <c r="K3" s="175"/>
      <c r="L3" s="175"/>
      <c r="M3" s="175"/>
      <c r="N3" s="175"/>
      <c r="O3" s="175"/>
      <c r="P3" s="175"/>
      <c r="Q3" s="175"/>
      <c r="R3" s="175"/>
      <c r="S3" s="175"/>
      <c r="T3" s="120"/>
      <c r="U3" s="120"/>
      <c r="V3" s="120"/>
      <c r="W3" s="120"/>
      <c r="X3" s="120"/>
      <c r="Y3" s="120"/>
      <c r="Z3" s="120"/>
      <c r="AA3" s="120"/>
      <c r="AB3" s="120"/>
      <c r="AC3" s="120"/>
      <c r="AD3" s="120"/>
      <c r="AE3" s="120"/>
      <c r="AF3" s="120"/>
      <c r="AG3" s="120"/>
      <c r="AH3" s="120"/>
      <c r="AI3" s="120"/>
      <c r="AJ3" s="120"/>
      <c r="AK3" s="120"/>
      <c r="AL3" s="120"/>
      <c r="AM3" s="120"/>
      <c r="AN3" s="691"/>
      <c r="AO3" s="692"/>
      <c r="AP3" s="692"/>
      <c r="AQ3" s="692"/>
      <c r="AR3" s="692"/>
      <c r="CK3" t="s">
        <v>3607</v>
      </c>
      <c r="CL3" t="s">
        <v>3607</v>
      </c>
    </row>
    <row r="4" spans="1:90" ht="14.85" customHeight="1">
      <c r="X4" s="842">
        <f>_souhrn!AH$5</f>
        <v>0</v>
      </c>
      <c r="Y4" s="843"/>
      <c r="Z4" s="843"/>
      <c r="AA4" s="843"/>
      <c r="AB4" s="843"/>
      <c r="AC4" s="843"/>
      <c r="AD4" s="843"/>
      <c r="AE4" s="843"/>
      <c r="AF4" s="846" t="str">
        <f>VLOOKUP('Translate&amp;Prices&amp;Logo'!D1,kombinace_1!$EV$1:$EW$6,2,0)</f>
        <v>€</v>
      </c>
      <c r="AG4" s="289"/>
      <c r="AH4" s="289"/>
      <c r="AI4" s="289"/>
      <c r="AJ4" s="289"/>
      <c r="AK4" s="289"/>
      <c r="AL4" s="289"/>
      <c r="AM4" s="289"/>
      <c r="AN4" s="290"/>
      <c r="AO4" s="289"/>
      <c r="AP4" s="289"/>
      <c r="AQ4" s="289"/>
      <c r="CK4" t="s">
        <v>2300</v>
      </c>
      <c r="CL4" t="s">
        <v>5455</v>
      </c>
    </row>
    <row r="5" spans="1:90" ht="14.85" customHeight="1">
      <c r="B5" s="768" t="s">
        <v>4664</v>
      </c>
      <c r="C5" s="768"/>
      <c r="D5" s="815" t="str">
        <f>Zakaznik!K23</f>
        <v>Odbiór osobisty w Demos Katowice</v>
      </c>
      <c r="E5" s="815"/>
      <c r="F5" s="815"/>
      <c r="G5" s="815"/>
      <c r="H5" s="815"/>
      <c r="I5" s="815"/>
      <c r="J5" s="815"/>
      <c r="K5" s="815"/>
      <c r="L5" s="158"/>
      <c r="M5" s="193" t="str">
        <f>IF(D5="Dostawa na adres",Zakaznik!E13,"")</f>
        <v/>
      </c>
      <c r="N5" s="193"/>
      <c r="O5" s="460" t="str">
        <f>IF(D5="Dostawa na adres",Zakaznik!K13,"")</f>
        <v/>
      </c>
      <c r="P5" s="460"/>
      <c r="Q5" s="460"/>
      <c r="R5" s="460"/>
      <c r="S5" s="460"/>
      <c r="T5" s="460"/>
      <c r="U5" s="460"/>
      <c r="V5" s="139"/>
      <c r="W5" s="139"/>
      <c r="X5" s="843"/>
      <c r="Y5" s="843"/>
      <c r="Z5" s="843"/>
      <c r="AA5" s="843"/>
      <c r="AB5" s="843"/>
      <c r="AC5" s="843"/>
      <c r="AD5" s="843"/>
      <c r="AE5" s="843"/>
      <c r="AF5" s="846"/>
      <c r="AG5" s="289"/>
      <c r="AH5" s="289"/>
      <c r="AI5" s="139"/>
      <c r="AJ5" s="139"/>
      <c r="AL5" s="158"/>
      <c r="AM5" s="158"/>
      <c r="AN5" s="158"/>
      <c r="AO5" s="158"/>
      <c r="CK5" t="s">
        <v>2305</v>
      </c>
      <c r="CL5" t="s">
        <v>5456</v>
      </c>
    </row>
    <row r="6" spans="1:90" ht="14.85" customHeight="1">
      <c r="B6" s="159"/>
      <c r="C6" s="159"/>
      <c r="D6" s="814" t="str">
        <f>IF(Zakaznik!$K$23="Dostawa na adres",Zakaznik!K25,"")</f>
        <v/>
      </c>
      <c r="E6" s="814"/>
      <c r="F6" s="814"/>
      <c r="G6" s="814"/>
      <c r="H6" s="814"/>
      <c r="I6" s="814"/>
      <c r="J6" s="814"/>
      <c r="K6" s="814"/>
      <c r="L6" s="158"/>
      <c r="M6" s="158"/>
      <c r="N6" s="158"/>
      <c r="O6" s="158"/>
      <c r="P6" s="158"/>
      <c r="Q6" s="461"/>
      <c r="R6" s="461"/>
      <c r="S6" s="461"/>
      <c r="T6" s="461"/>
      <c r="U6" s="461"/>
      <c r="V6" s="139"/>
      <c r="W6" s="139"/>
      <c r="Y6" s="158"/>
      <c r="Z6" s="158"/>
      <c r="AA6" s="158"/>
      <c r="AB6" s="158"/>
      <c r="AD6" s="139"/>
      <c r="AE6" s="139"/>
      <c r="AF6" s="139"/>
      <c r="AG6" s="139"/>
      <c r="AH6" s="139"/>
      <c r="AI6" s="139"/>
      <c r="AJ6" s="139"/>
      <c r="AL6" s="274"/>
      <c r="AM6" s="275"/>
      <c r="AN6" s="275"/>
      <c r="AO6" s="275"/>
      <c r="CK6" t="s">
        <v>3545</v>
      </c>
      <c r="CL6" t="s">
        <v>3545</v>
      </c>
    </row>
    <row r="7" spans="1:90" ht="14.85" customHeight="1">
      <c r="B7" s="159"/>
      <c r="C7" s="159"/>
      <c r="D7" s="814" t="str">
        <f>IF(Zakaznik!$K$23="Dostawa na adres",Zakaznik!K26,"")</f>
        <v/>
      </c>
      <c r="E7" s="814"/>
      <c r="F7" s="814"/>
      <c r="G7" s="814"/>
      <c r="H7" s="814"/>
      <c r="I7" s="814"/>
      <c r="J7" s="814"/>
      <c r="K7" s="814"/>
      <c r="L7" s="193"/>
      <c r="M7" s="193" t="str">
        <f>IF(D5="Dostawa na adres",Zakaznik!E17,"")</f>
        <v/>
      </c>
      <c r="N7" s="193"/>
      <c r="O7" s="193"/>
      <c r="P7" s="193"/>
      <c r="Q7" s="462" t="str">
        <f>IF(D5="Dostawa na adres",Zakaznik!K17,"")</f>
        <v/>
      </c>
      <c r="R7" s="462"/>
      <c r="S7" s="462"/>
      <c r="T7" s="462"/>
      <c r="U7" s="462"/>
      <c r="V7" s="139"/>
      <c r="W7" s="139"/>
      <c r="Y7" s="158"/>
      <c r="Z7" s="158"/>
      <c r="AA7" s="158"/>
      <c r="AB7" s="158"/>
      <c r="AD7" s="139"/>
      <c r="AE7" s="139"/>
      <c r="AF7" s="139"/>
      <c r="AG7" s="139"/>
      <c r="AH7" s="139"/>
      <c r="AI7" s="139"/>
      <c r="AJ7" s="139"/>
      <c r="AL7" s="275"/>
      <c r="AM7" s="275"/>
      <c r="AN7" s="275"/>
      <c r="AO7" s="275"/>
      <c r="CK7" t="s">
        <v>3546</v>
      </c>
      <c r="CL7" t="s">
        <v>3546</v>
      </c>
    </row>
    <row r="8" spans="1:90" ht="13.35" customHeight="1" thickBot="1">
      <c r="B8" s="159"/>
      <c r="C8" s="159"/>
      <c r="D8" s="814" t="str">
        <f>IF(Zakaznik!$K$23="Dostawa na adres",Zakaznik!K27,"")</f>
        <v/>
      </c>
      <c r="E8" s="814"/>
      <c r="F8" s="814"/>
      <c r="G8" s="814"/>
      <c r="H8" s="814"/>
      <c r="I8" s="814"/>
      <c r="J8" s="814"/>
      <c r="K8" s="814"/>
      <c r="L8" s="158"/>
      <c r="M8" s="158"/>
      <c r="N8" s="158"/>
      <c r="O8" s="158"/>
      <c r="P8" s="158"/>
      <c r="Q8" s="158"/>
      <c r="R8" s="158"/>
      <c r="S8" s="158"/>
      <c r="T8" s="158"/>
      <c r="U8" s="158"/>
      <c r="CK8" t="s">
        <v>2019</v>
      </c>
      <c r="CL8" t="s">
        <v>3572</v>
      </c>
    </row>
    <row r="9" spans="1:90" ht="35.1" customHeight="1" thickBot="1">
      <c r="J9" s="273"/>
      <c r="K9" s="273"/>
      <c r="L9" s="273"/>
      <c r="M9" s="273"/>
      <c r="N9" s="273"/>
      <c r="O9" s="273"/>
      <c r="P9" s="273"/>
      <c r="Q9" s="273"/>
      <c r="R9" s="273"/>
      <c r="S9" s="273"/>
      <c r="T9" s="273"/>
      <c r="U9" s="273"/>
      <c r="V9" s="273"/>
      <c r="W9" s="840" t="str">
        <f>'Translate&amp;Prices&amp;Logo'!$O$256</f>
        <v>Numer zamówienia</v>
      </c>
      <c r="X9" s="840"/>
      <c r="Y9" s="840"/>
      <c r="Z9" s="840"/>
      <c r="AA9" s="840"/>
      <c r="AB9" s="207"/>
      <c r="AC9" s="837"/>
      <c r="AD9" s="838"/>
      <c r="AE9" s="838"/>
      <c r="AF9" s="838"/>
      <c r="AG9" s="838"/>
      <c r="AH9" s="838"/>
      <c r="AI9" s="838"/>
      <c r="AJ9" s="838"/>
      <c r="AK9" s="838"/>
      <c r="AL9" s="838"/>
      <c r="AM9" s="838"/>
      <c r="AN9" s="838"/>
      <c r="AO9" s="839"/>
      <c r="AR9" s="847" t="s">
        <v>2574</v>
      </c>
      <c r="CK9" t="s">
        <v>2027</v>
      </c>
      <c r="CL9" t="s">
        <v>3575</v>
      </c>
    </row>
    <row r="10" spans="1:90" ht="16.350000000000001" customHeight="1">
      <c r="W10" s="825" t="str">
        <f>'Translate&amp;Prices&amp;Logo'!$O$542</f>
        <v>Połączenie 2 profili</v>
      </c>
      <c r="X10" s="825"/>
      <c r="Y10" s="825"/>
      <c r="Z10" s="825"/>
      <c r="AA10" s="825"/>
      <c r="AB10" s="207"/>
      <c r="AC10" s="848" t="str">
        <f>IF(kombinace_1!$H$1=TRUE,"Tak","Nie")</f>
        <v>Nie</v>
      </c>
      <c r="AD10" s="848"/>
      <c r="AE10" s="848"/>
      <c r="AF10" s="848"/>
      <c r="AG10" s="848"/>
      <c r="AH10" s="848"/>
      <c r="AI10" s="848"/>
      <c r="AJ10" s="848"/>
      <c r="AK10" s="848"/>
      <c r="AL10" s="848"/>
      <c r="AM10" s="848"/>
      <c r="AN10" s="848"/>
      <c r="AO10" s="848"/>
      <c r="AR10" s="847"/>
      <c r="CK10" t="s">
        <v>2033</v>
      </c>
      <c r="CL10" t="s">
        <v>2033</v>
      </c>
    </row>
    <row r="11" spans="1:90" ht="16.350000000000001" customHeight="1">
      <c r="W11" s="825" t="str">
        <f>'Translate&amp;Prices&amp;Logo'!$O$172</f>
        <v>Rodzaj profilu</v>
      </c>
      <c r="X11" s="825"/>
      <c r="Y11" s="825"/>
      <c r="Z11" s="825"/>
      <c r="AA11" s="825"/>
      <c r="AB11" s="207"/>
      <c r="AC11" s="824">
        <f>IFERROR(VLOOKUP(Ram_1!$H$8,'Translate&amp;Prices&amp;Logo'!$AA$1:$AB$282,2,0),Ram_1!$H$8)</f>
        <v>0</v>
      </c>
      <c r="AD11" s="824"/>
      <c r="AE11" s="824"/>
      <c r="AF11" s="824"/>
      <c r="AG11" s="824"/>
      <c r="AH11" s="824"/>
      <c r="AI11" s="824"/>
      <c r="AJ11" s="824"/>
      <c r="AK11" s="824"/>
      <c r="AL11" s="824"/>
      <c r="AM11" s="824"/>
      <c r="AN11" s="824"/>
      <c r="AO11" s="824"/>
      <c r="AR11" s="847"/>
      <c r="CK11" t="s">
        <v>2299</v>
      </c>
      <c r="CL11" t="s">
        <v>4113</v>
      </c>
    </row>
    <row r="12" spans="1:90" ht="16.350000000000001" customHeight="1">
      <c r="W12" s="825" t="str">
        <f>'Translate&amp;Prices&amp;Logo'!$O$543</f>
        <v>Szprosy</v>
      </c>
      <c r="X12" s="825"/>
      <c r="Y12" s="825"/>
      <c r="Z12" s="825"/>
      <c r="AA12" s="825"/>
      <c r="AB12" s="207"/>
      <c r="AC12" s="824" t="str" cm="1">
        <f t="array" ref="AC12">IFERROR(VLOOKUP(Ram_1!$AU$10,AU12:AV15,2,0),Nie)</f>
        <v>Nie</v>
      </c>
      <c r="AD12" s="824"/>
      <c r="AE12" s="824"/>
      <c r="AF12" s="824"/>
      <c r="AG12" s="824"/>
      <c r="AH12" s="824"/>
      <c r="AI12" s="824"/>
      <c r="AJ12" s="824"/>
      <c r="AK12" s="824"/>
      <c r="AL12" s="824"/>
      <c r="AM12" s="824"/>
      <c r="AN12" s="824"/>
      <c r="AO12" s="824"/>
      <c r="AR12" s="847"/>
      <c r="AU12">
        <v>0</v>
      </c>
      <c r="AV12" t="str">
        <f>'Translate&amp;Prices&amp;Logo'!$O$557</f>
        <v>Nie</v>
      </c>
      <c r="AZ12">
        <v>2</v>
      </c>
      <c r="BA12" t="str">
        <f>'Translate&amp;Prices&amp;Logo'!$O$551</f>
        <v>Zawiasy</v>
      </c>
      <c r="BD12" s="1" t="s">
        <v>98</v>
      </c>
      <c r="BE12" s="1" t="s">
        <v>452</v>
      </c>
      <c r="BI12" s="1" t="s">
        <v>75</v>
      </c>
      <c r="BJ12" s="1" t="s">
        <v>446</v>
      </c>
      <c r="BM12" s="1" t="s">
        <v>215</v>
      </c>
      <c r="BN12" s="1" t="s">
        <v>486</v>
      </c>
      <c r="BX12" s="1">
        <v>1</v>
      </c>
      <c r="BY12" s="1" t="str">
        <f>'Translate&amp;Prices&amp;Logo'!$O$100</f>
        <v>Bez modyfikacji</v>
      </c>
      <c r="CA12" t="s">
        <v>1886</v>
      </c>
      <c r="CB12" t="s">
        <v>2286</v>
      </c>
      <c r="CK12" t="s">
        <v>2304</v>
      </c>
      <c r="CL12" t="s">
        <v>4114</v>
      </c>
    </row>
    <row r="13" spans="1:90" ht="16.350000000000001" customHeight="1">
      <c r="W13" s="278"/>
      <c r="X13" s="278"/>
      <c r="Y13" s="278"/>
      <c r="Z13" s="278"/>
      <c r="AA13" s="278"/>
      <c r="AB13" s="207"/>
      <c r="AC13" s="849" t="str">
        <f>IF(OR(Ram_1!$AU$10=1,Ram_1!$AU$10=3),'Translate&amp;Prices&amp;Logo'!O558,"")</f>
        <v/>
      </c>
      <c r="AD13" s="849"/>
      <c r="AE13" s="849"/>
      <c r="AF13" s="849"/>
      <c r="AG13" s="849"/>
      <c r="AH13" s="849"/>
      <c r="AI13" s="849"/>
      <c r="AJ13" s="849" t="str">
        <f>IF(OR(Ram_1!$AU$10=2,Ram_1!$AU$10=3),'Translate&amp;Prices&amp;Logo'!O559,"")</f>
        <v/>
      </c>
      <c r="AK13" s="849"/>
      <c r="AL13" s="849"/>
      <c r="AM13" s="849"/>
      <c r="AN13" s="849"/>
      <c r="AO13" s="849"/>
      <c r="AR13" s="847"/>
      <c r="AU13">
        <v>1</v>
      </c>
      <c r="AV13" t="str">
        <f>'Translate&amp;Prices&amp;Logo'!$O$558</f>
        <v>Poziomo (termin dostawy 4 tygodnie)</v>
      </c>
      <c r="AZ13">
        <v>3</v>
      </c>
      <c r="BA13" t="str">
        <f>'Translate&amp;Prices&amp;Logo'!$O$552</f>
        <v>Podnośniki</v>
      </c>
      <c r="BD13" s="1" t="s">
        <v>99</v>
      </c>
      <c r="BE13" s="1" t="s">
        <v>453</v>
      </c>
      <c r="BI13" s="1" t="s">
        <v>74</v>
      </c>
      <c r="BJ13" s="1" t="s">
        <v>447</v>
      </c>
      <c r="BM13" s="1" t="s">
        <v>216</v>
      </c>
      <c r="BN13" s="1" t="s">
        <v>487</v>
      </c>
      <c r="BX13" s="1">
        <v>2</v>
      </c>
      <c r="BY13" s="1" t="str">
        <f>'Translate&amp;Prices&amp;Logo'!$O$101</f>
        <v>Hartowane</v>
      </c>
      <c r="CA13" t="s">
        <v>1889</v>
      </c>
      <c r="CB13" t="s">
        <v>2287</v>
      </c>
      <c r="CK13" t="s">
        <v>2020</v>
      </c>
      <c r="CL13" t="s">
        <v>4012</v>
      </c>
    </row>
    <row r="14" spans="1:90" ht="16.350000000000001" customHeight="1">
      <c r="W14" s="825" t="str">
        <f>('Translate&amp;Prices&amp;Logo'!$O$543)&amp;" "&amp;"("&amp;'Translate&amp;Prices&amp;Logo'!$O$174&amp;")"</f>
        <v>Szprosy (Ilość sztuk)</v>
      </c>
      <c r="X14" s="825"/>
      <c r="Y14" s="825"/>
      <c r="Z14" s="825"/>
      <c r="AA14" s="825"/>
      <c r="AB14" s="207"/>
      <c r="AC14" s="824">
        <f>Ram_1!$H$11</f>
        <v>0</v>
      </c>
      <c r="AD14" s="824"/>
      <c r="AE14" s="824"/>
      <c r="AF14" s="824"/>
      <c r="AG14" s="824"/>
      <c r="AH14" s="824"/>
      <c r="AI14" s="824"/>
      <c r="AJ14" s="824">
        <f>Ram_1!$M$11</f>
        <v>0</v>
      </c>
      <c r="AK14" s="824"/>
      <c r="AL14" s="824"/>
      <c r="AM14" s="824"/>
      <c r="AN14" s="824"/>
      <c r="AO14" s="824"/>
      <c r="AR14" s="847"/>
      <c r="AU14">
        <v>2</v>
      </c>
      <c r="AV14" t="str">
        <f>'Translate&amp;Prices&amp;Logo'!$O$559</f>
        <v>Pionowo (termin dostawy 4 tygodnie)</v>
      </c>
      <c r="BD14" s="1" t="s">
        <v>100</v>
      </c>
      <c r="BE14" s="1" t="s">
        <v>2101</v>
      </c>
      <c r="BI14" s="1" t="s">
        <v>387</v>
      </c>
      <c r="BJ14" s="1" t="s">
        <v>446</v>
      </c>
      <c r="BM14" s="1" t="s">
        <v>218</v>
      </c>
      <c r="BN14" s="1" t="s">
        <v>488</v>
      </c>
      <c r="BX14" s="1">
        <v>3</v>
      </c>
      <c r="BY14" s="1" t="str">
        <f>'Translate&amp;Prices&amp;Logo'!$O$102</f>
        <v>Folia</v>
      </c>
      <c r="CA14" t="s">
        <v>1892</v>
      </c>
      <c r="CB14" t="s">
        <v>2288</v>
      </c>
      <c r="CK14" t="s">
        <v>2028</v>
      </c>
      <c r="CL14" t="s">
        <v>4013</v>
      </c>
    </row>
    <row r="15" spans="1:90" ht="16.350000000000001" customHeight="1">
      <c r="W15" s="825" t="str">
        <f>'Translate&amp;Prices&amp;Logo'!$O$258</f>
        <v>Typ okucia</v>
      </c>
      <c r="X15" s="825"/>
      <c r="Y15" s="825"/>
      <c r="Z15" s="825"/>
      <c r="AA15" s="825"/>
      <c r="AB15" s="207"/>
      <c r="AC15" s="824" t="str">
        <f>IFERROR(VLOOKUP(Ram_1!$AU$9,AZ12:BA13,2,0),Ram_1!$AU$9)</f>
        <v/>
      </c>
      <c r="AD15" s="824"/>
      <c r="AE15" s="824"/>
      <c r="AF15" s="824"/>
      <c r="AG15" s="824"/>
      <c r="AH15" s="824"/>
      <c r="AI15" s="824"/>
      <c r="AJ15" s="824"/>
      <c r="AK15" s="824"/>
      <c r="AL15" s="824"/>
      <c r="AM15" s="824"/>
      <c r="AN15" s="824"/>
      <c r="AO15" s="824"/>
      <c r="AR15" s="847"/>
      <c r="AU15">
        <v>3</v>
      </c>
      <c r="AV15" t="str">
        <f>'Translate&amp;Prices&amp;Logo'!$O$560</f>
        <v>Poziomo i pionowo (termin dostawy 4 tygodnie)</v>
      </c>
      <c r="BD15" s="1" t="s">
        <v>98</v>
      </c>
      <c r="BE15" s="1" t="s">
        <v>452</v>
      </c>
      <c r="BI15" s="1" t="s">
        <v>388</v>
      </c>
      <c r="BJ15" s="1" t="s">
        <v>447</v>
      </c>
      <c r="BM15" s="1" t="s">
        <v>217</v>
      </c>
      <c r="BN15" s="1" t="s">
        <v>489</v>
      </c>
      <c r="CA15" t="s">
        <v>2175</v>
      </c>
      <c r="CB15" t="s">
        <v>2286</v>
      </c>
      <c r="CK15" t="s">
        <v>2021</v>
      </c>
      <c r="CL15" t="s">
        <v>4317</v>
      </c>
    </row>
    <row r="16" spans="1:90" ht="16.350000000000001" customHeight="1">
      <c r="W16" s="825" t="str">
        <f>'Translate&amp;Prices&amp;Logo'!$O$544</f>
        <v>Marka okucia</v>
      </c>
      <c r="X16" s="825"/>
      <c r="Y16" s="825"/>
      <c r="Z16" s="825"/>
      <c r="AA16" s="825"/>
      <c r="AB16" s="207"/>
      <c r="AC16" s="824">
        <f>Ram_1!$H$13</f>
        <v>0</v>
      </c>
      <c r="AD16" s="824"/>
      <c r="AE16" s="824"/>
      <c r="AF16" s="824"/>
      <c r="AG16" s="824"/>
      <c r="AH16" s="824"/>
      <c r="AI16" s="824"/>
      <c r="AJ16" s="824"/>
      <c r="AK16" s="824"/>
      <c r="AL16" s="824"/>
      <c r="AM16" s="824"/>
      <c r="AN16" s="824"/>
      <c r="AO16" s="824"/>
      <c r="AR16" s="847"/>
      <c r="BD16" s="1" t="s">
        <v>99</v>
      </c>
      <c r="BE16" s="1" t="s">
        <v>453</v>
      </c>
      <c r="BI16" s="1" t="s">
        <v>705</v>
      </c>
      <c r="BJ16" s="1" t="s">
        <v>446</v>
      </c>
      <c r="BM16" s="1" t="s">
        <v>219</v>
      </c>
      <c r="BN16" s="1" t="s">
        <v>2272</v>
      </c>
      <c r="CA16" t="s">
        <v>2176</v>
      </c>
      <c r="CB16" t="s">
        <v>2287</v>
      </c>
      <c r="CK16" t="s">
        <v>2000</v>
      </c>
      <c r="CL16" t="s">
        <v>4318</v>
      </c>
    </row>
    <row r="17" spans="19:90" ht="16.350000000000001" customHeight="1" thickBot="1">
      <c r="W17" s="825" t="str">
        <f>'Translate&amp;Prices&amp;Logo'!$O$546</f>
        <v>Nałożenie</v>
      </c>
      <c r="X17" s="825"/>
      <c r="Y17" s="825"/>
      <c r="Z17" s="825"/>
      <c r="AA17" s="825"/>
      <c r="AB17" s="207"/>
      <c r="AC17" s="824">
        <f>IFERROR(VLOOKUP(Ram_1!$H$14,$BD$12:$BE$29,2,0),0)</f>
        <v>0</v>
      </c>
      <c r="AD17" s="824"/>
      <c r="AE17" s="824"/>
      <c r="AF17" s="824"/>
      <c r="AG17" s="824"/>
      <c r="AH17" s="824"/>
      <c r="AI17" s="824"/>
      <c r="AJ17" s="824"/>
      <c r="AK17" s="824"/>
      <c r="AL17" s="824"/>
      <c r="AM17" s="824"/>
      <c r="AN17" s="824"/>
      <c r="AO17" s="824"/>
      <c r="AR17" s="847"/>
      <c r="BD17" s="1" t="s">
        <v>100</v>
      </c>
      <c r="BE17" s="1" t="s">
        <v>2101</v>
      </c>
      <c r="BI17" s="1" t="s">
        <v>523</v>
      </c>
      <c r="BJ17" s="1" t="s">
        <v>447</v>
      </c>
      <c r="BM17" s="1" t="s">
        <v>421</v>
      </c>
      <c r="BN17" s="1" t="s">
        <v>486</v>
      </c>
      <c r="CA17" t="s">
        <v>2177</v>
      </c>
      <c r="CB17" t="s">
        <v>2288</v>
      </c>
      <c r="CK17" t="s">
        <v>2010</v>
      </c>
      <c r="CL17" t="s">
        <v>2010</v>
      </c>
    </row>
    <row r="18" spans="19:90" ht="16.350000000000001" customHeight="1">
      <c r="S18" s="822">
        <f>Ram_1!AR14</f>
        <v>0</v>
      </c>
      <c r="W18" s="825" t="str">
        <f>'Translate&amp;Prices&amp;Logo'!$O$545</f>
        <v>Wariant okucia</v>
      </c>
      <c r="X18" s="825"/>
      <c r="Y18" s="825"/>
      <c r="Z18" s="825"/>
      <c r="AA18" s="825"/>
      <c r="AB18" s="207"/>
      <c r="AC18" s="841">
        <f>IFERROR(VLOOKUP(Ram_1!$H$15,kombinace_1!$ED$2:$EE$760,2,0),Ram_1!$H$15)</f>
        <v>0</v>
      </c>
      <c r="AD18" s="841"/>
      <c r="AE18" s="841"/>
      <c r="AF18" s="841"/>
      <c r="AG18" s="841"/>
      <c r="AH18" s="841"/>
      <c r="AI18" s="841"/>
      <c r="AJ18" s="824" t="str">
        <f>IF(AC18='Translate&amp;Prices&amp;Logo'!C698,VLOOKUP(Ram_1!H17,'Translate&amp;Prices&amp;Logo'!C699:D746,2,0),"")</f>
        <v/>
      </c>
      <c r="AK18" s="824"/>
      <c r="AL18" s="824"/>
      <c r="AM18" s="824"/>
      <c r="AN18" s="824"/>
      <c r="AO18" s="824"/>
      <c r="AR18" s="847"/>
      <c r="BD18" s="1" t="s">
        <v>452</v>
      </c>
      <c r="BE18" s="1" t="s">
        <v>452</v>
      </c>
      <c r="BI18" s="1" t="s">
        <v>2315</v>
      </c>
      <c r="BJ18" s="1" t="s">
        <v>446</v>
      </c>
      <c r="BM18" s="1" t="s">
        <v>422</v>
      </c>
      <c r="BN18" s="1" t="s">
        <v>487</v>
      </c>
      <c r="CA18" t="s">
        <v>2286</v>
      </c>
      <c r="CB18" t="s">
        <v>2286</v>
      </c>
      <c r="CK18" t="s">
        <v>2029</v>
      </c>
      <c r="CL18" t="s">
        <v>4316</v>
      </c>
    </row>
    <row r="19" spans="19:90" ht="16.350000000000001" customHeight="1">
      <c r="S19" s="823">
        <f>Ram_1!AR15</f>
        <v>0</v>
      </c>
      <c r="W19" s="825" t="str">
        <f>'Translate&amp;Prices&amp;Logo'!$O$218</f>
        <v>Wybierz pozycję ramki</v>
      </c>
      <c r="X19" s="825"/>
      <c r="Y19" s="825"/>
      <c r="Z19" s="825"/>
      <c r="AA19" s="825"/>
      <c r="AB19" s="824">
        <f>IFERROR(VLOOKUP(Ram_1!$F$16,BI12:BJ23,2,0),0)</f>
        <v>0</v>
      </c>
      <c r="AC19" s="824"/>
      <c r="AD19" s="824"/>
      <c r="AE19" s="824"/>
      <c r="AF19" s="824"/>
      <c r="AG19" s="850" t="str">
        <f>'Translate&amp;Prices&amp;Logo'!$O$232</f>
        <v>Rodzaj drugiej ramki</v>
      </c>
      <c r="AH19" s="850"/>
      <c r="AI19" s="850"/>
      <c r="AJ19" s="824">
        <f>IFERROR(VLOOKUP(Ram_1!$N$16,BM12:BN41,2,0),0)</f>
        <v>0</v>
      </c>
      <c r="AK19" s="824"/>
      <c r="AL19" s="824"/>
      <c r="AM19" s="824"/>
      <c r="AN19" s="824"/>
      <c r="AO19" s="824"/>
      <c r="AR19" s="847"/>
      <c r="BD19" s="1" t="s">
        <v>453</v>
      </c>
      <c r="BE19" s="1" t="s">
        <v>453</v>
      </c>
      <c r="BI19" s="1" t="s">
        <v>2316</v>
      </c>
      <c r="BJ19" s="1" t="s">
        <v>447</v>
      </c>
      <c r="BM19" s="1" t="s">
        <v>423</v>
      </c>
      <c r="BN19" s="1" t="s">
        <v>488</v>
      </c>
      <c r="CA19" t="s">
        <v>2287</v>
      </c>
      <c r="CB19" t="s">
        <v>2287</v>
      </c>
      <c r="CK19" t="s">
        <v>2024</v>
      </c>
      <c r="CL19" t="s">
        <v>3574</v>
      </c>
    </row>
    <row r="20" spans="19:90" ht="16.350000000000001" customHeight="1">
      <c r="S20" s="823">
        <f>Ram_1!AR16</f>
        <v>0</v>
      </c>
      <c r="W20" s="825" t="str">
        <f>IF(AC15='Translate&amp;Prices&amp;Logo'!O551,'Translate&amp;Prices&amp;Logo'!O238,'Translate&amp;Prices&amp;Logo'!$O$226)</f>
        <v>Umieszczenie</v>
      </c>
      <c r="X20" s="825"/>
      <c r="Y20" s="825"/>
      <c r="Z20" s="825"/>
      <c r="AA20" s="825"/>
      <c r="AB20" s="207"/>
      <c r="AC20" s="845" t="str">
        <f>IFERROR((IF(Ram_1!H12='Translate&amp;Prices&amp;Logo'!B552,VLOOKUP(Ram_1!$N$16,BM42:BN65,2,0),VLOOKUP(Ram_1!$H$17,BM42:BN65,2,0))),"")</f>
        <v/>
      </c>
      <c r="AD20" s="845"/>
      <c r="AE20" s="845"/>
      <c r="AF20" s="845"/>
      <c r="AG20" s="845"/>
      <c r="AH20" s="845"/>
      <c r="AI20" s="845"/>
      <c r="AJ20" s="845"/>
      <c r="AK20" s="845"/>
      <c r="AL20" s="845"/>
      <c r="AM20" s="845"/>
      <c r="AN20" s="845"/>
      <c r="AO20" s="845"/>
      <c r="AR20" s="847"/>
      <c r="BD20" s="1" t="s">
        <v>2101</v>
      </c>
      <c r="BE20" s="1" t="s">
        <v>2101</v>
      </c>
      <c r="BI20" s="1" t="s">
        <v>446</v>
      </c>
      <c r="BJ20" s="1" t="s">
        <v>446</v>
      </c>
      <c r="BM20" s="1" t="s">
        <v>424</v>
      </c>
      <c r="BN20" s="1" t="s">
        <v>489</v>
      </c>
      <c r="CA20" t="s">
        <v>2288</v>
      </c>
      <c r="CB20" t="s">
        <v>2288</v>
      </c>
      <c r="CK20" t="s">
        <v>2003</v>
      </c>
      <c r="CL20" t="s">
        <v>2003</v>
      </c>
    </row>
    <row r="21" spans="19:90" ht="16.350000000000001" customHeight="1">
      <c r="S21" s="823">
        <f>Ram_1!AR17</f>
        <v>0</v>
      </c>
      <c r="W21" s="825" t="str">
        <f>'Translate&amp;Prices&amp;Logo'!$O$547</f>
        <v>Zawiasy do podnośników</v>
      </c>
      <c r="X21" s="825"/>
      <c r="Y21" s="825"/>
      <c r="Z21" s="825"/>
      <c r="AA21" s="825"/>
      <c r="AB21" s="207"/>
      <c r="AC21" s="824">
        <f>IFERROR((VLOOKUP(Ram_1!$H$18,$CK$2:$CL$90,2,0)),Ram_1!$H$18)</f>
        <v>0</v>
      </c>
      <c r="AD21" s="824"/>
      <c r="AE21" s="824"/>
      <c r="AF21" s="824"/>
      <c r="AG21" s="824"/>
      <c r="AH21" s="824"/>
      <c r="AI21" s="824"/>
      <c r="AJ21" s="824"/>
      <c r="AK21" s="824"/>
      <c r="AL21" s="824"/>
      <c r="AM21" s="824"/>
      <c r="AN21" s="824"/>
      <c r="AO21" s="824"/>
      <c r="AR21" s="847"/>
      <c r="AV21" s="1">
        <f>Ram_1!$H$18</f>
        <v>0</v>
      </c>
      <c r="BD21" s="1" t="s">
        <v>528</v>
      </c>
      <c r="BE21" s="1" t="s">
        <v>452</v>
      </c>
      <c r="BI21" s="1" t="s">
        <v>447</v>
      </c>
      <c r="BJ21" s="1" t="s">
        <v>447</v>
      </c>
      <c r="BM21" s="1" t="s">
        <v>425</v>
      </c>
      <c r="BN21" s="1" t="s">
        <v>2272</v>
      </c>
      <c r="CA21" t="s">
        <v>2178</v>
      </c>
      <c r="CB21" t="s">
        <v>2286</v>
      </c>
      <c r="CK21" t="s">
        <v>2030</v>
      </c>
      <c r="CL21" t="s">
        <v>4319</v>
      </c>
    </row>
    <row r="22" spans="19:90" ht="16.350000000000001" customHeight="1">
      <c r="S22" s="823">
        <f>Ram_1!AR18</f>
        <v>0</v>
      </c>
      <c r="W22" s="825" t="str">
        <f>'Translate&amp;Prices&amp;Logo'!$O$223</f>
        <v>Ilość zawiasów na 1 ramkę</v>
      </c>
      <c r="X22" s="825"/>
      <c r="Y22" s="825"/>
      <c r="Z22" s="825"/>
      <c r="AA22" s="825"/>
      <c r="AB22" s="207"/>
      <c r="AC22" s="824">
        <f>Ram_1!$H$19</f>
        <v>0</v>
      </c>
      <c r="AD22" s="824"/>
      <c r="AE22" s="824"/>
      <c r="AF22" s="824"/>
      <c r="AG22" s="824"/>
      <c r="AH22" s="824"/>
      <c r="AI22" s="824"/>
      <c r="AJ22" s="824"/>
      <c r="AK22" s="824"/>
      <c r="AL22" s="824"/>
      <c r="AM22" s="824"/>
      <c r="AN22" s="824"/>
      <c r="AO22" s="824"/>
      <c r="AR22" s="847"/>
      <c r="BD22" s="1" t="s">
        <v>529</v>
      </c>
      <c r="BE22" s="1" t="s">
        <v>453</v>
      </c>
      <c r="BI22" s="487" t="s">
        <v>4946</v>
      </c>
      <c r="BJ22" s="1" t="s">
        <v>446</v>
      </c>
      <c r="BM22" s="1" t="s">
        <v>486</v>
      </c>
      <c r="BN22" s="1" t="s">
        <v>486</v>
      </c>
      <c r="CA22" t="s">
        <v>2261</v>
      </c>
      <c r="CB22" t="s">
        <v>2287</v>
      </c>
      <c r="CK22" t="s">
        <v>2031</v>
      </c>
      <c r="CL22" t="s">
        <v>3577</v>
      </c>
    </row>
    <row r="23" spans="19:90" ht="16.350000000000001" customHeight="1">
      <c r="S23" s="820" t="str">
        <f>'Translate&amp;Prices&amp;Logo'!$O$176</f>
        <v>Wysokość</v>
      </c>
      <c r="W23" s="825" t="str">
        <f>IFERROR(('Translate&amp;Prices&amp;Logo'!$O$242&amp;" "&amp;VLOOKUP(Ram_1!H17,kombinace_1!BY32:CD35,5,0)),"")</f>
        <v/>
      </c>
      <c r="X23" s="825"/>
      <c r="Y23" s="825"/>
      <c r="Z23" s="825"/>
      <c r="AA23" s="825"/>
      <c r="AB23" s="824">
        <f>Ram_1!$F$20</f>
        <v>100</v>
      </c>
      <c r="AC23" s="824"/>
      <c r="AD23" s="824"/>
      <c r="AE23" s="824"/>
      <c r="AF23" s="824"/>
      <c r="AG23" s="825" t="str">
        <f>IFERROR(('Translate&amp;Prices&amp;Logo'!$O$242&amp;" "&amp;VLOOKUP(Ram_1!H17,kombinace_1!$BY$32:$CD$35,6,0)),"")</f>
        <v/>
      </c>
      <c r="AH23" s="825"/>
      <c r="AI23" s="825"/>
      <c r="AJ23" s="825"/>
      <c r="AK23" s="825"/>
      <c r="AL23" s="824">
        <f>Ram_1!$N$20</f>
        <v>100</v>
      </c>
      <c r="AM23" s="824"/>
      <c r="AN23" s="824"/>
      <c r="AO23" s="824"/>
      <c r="AR23" s="847"/>
      <c r="BD23" s="1" t="s">
        <v>530</v>
      </c>
      <c r="BE23" s="1" t="s">
        <v>2101</v>
      </c>
      <c r="BI23" s="487" t="s">
        <v>4947</v>
      </c>
      <c r="BJ23" s="1" t="s">
        <v>447</v>
      </c>
      <c r="BM23" s="1" t="s">
        <v>487</v>
      </c>
      <c r="BN23" s="1" t="s">
        <v>487</v>
      </c>
      <c r="CA23" t="s">
        <v>2179</v>
      </c>
      <c r="CB23" t="s">
        <v>2288</v>
      </c>
      <c r="CK23" t="s">
        <v>2302</v>
      </c>
      <c r="CL23" t="s">
        <v>4116</v>
      </c>
    </row>
    <row r="24" spans="19:90" ht="16.350000000000001" customHeight="1">
      <c r="S24" s="820">
        <f>Ram_1!AR20</f>
        <v>0</v>
      </c>
      <c r="W24" s="825" t="str">
        <f>'Translate&amp;Prices&amp;Logo'!$O$653</f>
        <v>Wypełnienie z siatki</v>
      </c>
      <c r="X24" s="825"/>
      <c r="Y24" s="825"/>
      <c r="Z24" s="825"/>
      <c r="AA24" s="825"/>
      <c r="AB24" s="207"/>
      <c r="AC24" s="826" t="str">
        <f>IF(kombinace_1!FC2=TRUE,"Tak","Nie")</f>
        <v>Nie</v>
      </c>
      <c r="AD24" s="826"/>
      <c r="AE24" s="826"/>
      <c r="AF24" s="826"/>
      <c r="AG24" s="826"/>
      <c r="AH24" s="826"/>
      <c r="AI24" s="826"/>
      <c r="AJ24" s="826"/>
      <c r="AK24" s="826"/>
      <c r="AL24" s="826"/>
      <c r="AM24" s="826"/>
      <c r="AN24" s="826"/>
      <c r="AO24" s="826"/>
      <c r="AR24" s="847"/>
      <c r="BD24" s="1" t="s">
        <v>2563</v>
      </c>
      <c r="BE24" s="1" t="s">
        <v>452</v>
      </c>
      <c r="BM24" s="1" t="s">
        <v>488</v>
      </c>
      <c r="BN24" s="1" t="s">
        <v>488</v>
      </c>
      <c r="CA24" t="s">
        <v>2367</v>
      </c>
      <c r="CB24" t="s">
        <v>2286</v>
      </c>
      <c r="CK24" t="s">
        <v>2012</v>
      </c>
      <c r="CL24" t="s">
        <v>2012</v>
      </c>
    </row>
    <row r="25" spans="19:90" ht="16.350000000000001" customHeight="1">
      <c r="S25" s="820">
        <f>Ram_1!AR21</f>
        <v>0</v>
      </c>
      <c r="W25" s="825" t="str">
        <f>'Translate&amp;Prices&amp;Logo'!$O$173</f>
        <v>Rodzaj szkła</v>
      </c>
      <c r="X25" s="825"/>
      <c r="Y25" s="825"/>
      <c r="Z25" s="825"/>
      <c r="AA25" s="825"/>
      <c r="AB25" s="207"/>
      <c r="AC25" s="824" t="str">
        <f>IFERROR(VLOOKUP(kombinace_1!$V$1,BX12:BY14,2,0),0)</f>
        <v>Bez modyfikacji</v>
      </c>
      <c r="AD25" s="824"/>
      <c r="AE25" s="824"/>
      <c r="AF25" s="824"/>
      <c r="AG25" s="824"/>
      <c r="AH25" s="824"/>
      <c r="AI25" s="824"/>
      <c r="AJ25" s="824"/>
      <c r="AK25" s="824"/>
      <c r="AL25" s="824"/>
      <c r="AM25" s="824"/>
      <c r="AN25" s="824"/>
      <c r="AO25" s="824"/>
      <c r="AR25" s="847"/>
      <c r="BD25" s="1" t="s">
        <v>2420</v>
      </c>
      <c r="BE25" s="1" t="s">
        <v>453</v>
      </c>
      <c r="BM25" s="1" t="s">
        <v>489</v>
      </c>
      <c r="BN25" s="1" t="s">
        <v>489</v>
      </c>
      <c r="CA25" t="s">
        <v>2368</v>
      </c>
      <c r="CB25" t="s">
        <v>2287</v>
      </c>
      <c r="CK25" t="s">
        <v>2025</v>
      </c>
      <c r="CL25" t="s">
        <v>4015</v>
      </c>
    </row>
    <row r="26" spans="19:90" ht="16.350000000000001" customHeight="1">
      <c r="S26" s="820">
        <f>Ram_1!AR22</f>
        <v>0</v>
      </c>
      <c r="W26" s="825" t="str">
        <f>'Translate&amp;Prices&amp;Logo'!$O$562</f>
        <v>Rodzaj folii</v>
      </c>
      <c r="X26" s="825"/>
      <c r="Y26" s="825"/>
      <c r="Z26" s="825"/>
      <c r="AA26" s="825"/>
      <c r="AB26" s="207"/>
      <c r="AC26" s="824">
        <f>IFERROR(VLOOKUP(Ram_1!$H$24,CA12:CB29,2,0),0)</f>
        <v>0</v>
      </c>
      <c r="AD26" s="824"/>
      <c r="AE26" s="824"/>
      <c r="AF26" s="824"/>
      <c r="AG26" s="824"/>
      <c r="AH26" s="824"/>
      <c r="AI26" s="824"/>
      <c r="AJ26" s="824"/>
      <c r="AK26" s="824"/>
      <c r="AL26" s="824"/>
      <c r="AM26" s="824"/>
      <c r="AN26" s="824"/>
      <c r="AO26" s="824"/>
      <c r="AR26" s="847"/>
      <c r="BD26" s="1" t="s">
        <v>1660</v>
      </c>
      <c r="BE26" s="1" t="s">
        <v>2101</v>
      </c>
      <c r="BM26" s="1" t="s">
        <v>2272</v>
      </c>
      <c r="BN26" s="1" t="s">
        <v>2272</v>
      </c>
      <c r="CA26" t="s">
        <v>2369</v>
      </c>
      <c r="CB26" t="s">
        <v>2288</v>
      </c>
      <c r="CK26" t="s">
        <v>2303</v>
      </c>
      <c r="CL26" t="s">
        <v>4117</v>
      </c>
    </row>
    <row r="27" spans="19:90" ht="16.350000000000001" customHeight="1" thickBot="1">
      <c r="S27" s="821">
        <f>Ram_1!AR23</f>
        <v>0</v>
      </c>
      <c r="W27" s="825" t="str">
        <f>'Translate&amp;Prices&amp;Logo'!$O$173</f>
        <v>Rodzaj szkła</v>
      </c>
      <c r="X27" s="825"/>
      <c r="Y27" s="825"/>
      <c r="Z27" s="825"/>
      <c r="AA27" s="825"/>
      <c r="AB27" s="207"/>
      <c r="AC27" s="824">
        <f>IFERROR(VLOOKUP(Ram_1!$H$25,'Translate&amp;Prices&amp;Logo'!$AH$1:$AI$165,2,0),Ram_1!$H$25)</f>
        <v>0</v>
      </c>
      <c r="AD27" s="824"/>
      <c r="AE27" s="824"/>
      <c r="AF27" s="824"/>
      <c r="AG27" s="824"/>
      <c r="AH27" s="824"/>
      <c r="AI27" s="824"/>
      <c r="AJ27" s="824"/>
      <c r="AK27" s="824"/>
      <c r="AL27" s="824"/>
      <c r="AM27" s="824"/>
      <c r="AN27" s="824"/>
      <c r="AO27" s="824"/>
      <c r="AR27" s="847"/>
      <c r="BD27" s="487" t="s">
        <v>4952</v>
      </c>
      <c r="BE27" s="1" t="s">
        <v>452</v>
      </c>
      <c r="BM27" s="1" t="s">
        <v>564</v>
      </c>
      <c r="BN27" s="1" t="s">
        <v>486</v>
      </c>
      <c r="CA27" s="487" t="s">
        <v>2367</v>
      </c>
      <c r="CB27" t="s">
        <v>2286</v>
      </c>
      <c r="CK27" t="s">
        <v>2306</v>
      </c>
      <c r="CL27" t="s">
        <v>4118</v>
      </c>
    </row>
    <row r="28" spans="19:90" ht="16.350000000000001" customHeight="1">
      <c r="W28" s="825" t="str">
        <f>'Translate&amp;Prices&amp;Logo'!$O$549</f>
        <v>Rozstaw uchwytu (mm)</v>
      </c>
      <c r="X28" s="825"/>
      <c r="Y28" s="825"/>
      <c r="Z28" s="825"/>
      <c r="AA28" s="825"/>
      <c r="AB28" s="207"/>
      <c r="AC28" s="824">
        <f>Ram_1!$H$26</f>
        <v>0</v>
      </c>
      <c r="AD28" s="824"/>
      <c r="AE28" s="824"/>
      <c r="AF28" s="824"/>
      <c r="AG28" s="824"/>
      <c r="AH28" s="824"/>
      <c r="AI28" s="824"/>
      <c r="AJ28" s="824"/>
      <c r="AK28" s="824"/>
      <c r="AL28" s="824"/>
      <c r="AM28" s="824"/>
      <c r="AN28" s="824"/>
      <c r="AO28" s="824"/>
      <c r="AR28" s="847"/>
      <c r="BD28" s="487" t="s">
        <v>4953</v>
      </c>
      <c r="BE28" s="1" t="s">
        <v>453</v>
      </c>
      <c r="BM28" s="1" t="s">
        <v>565</v>
      </c>
      <c r="BN28" s="1" t="s">
        <v>487</v>
      </c>
      <c r="CA28" s="487" t="s">
        <v>5155</v>
      </c>
      <c r="CB28" t="s">
        <v>2287</v>
      </c>
      <c r="CK28" t="s">
        <v>2026</v>
      </c>
      <c r="CL28" t="s">
        <v>4016</v>
      </c>
    </row>
    <row r="29" spans="19:90" ht="16.350000000000001" customHeight="1">
      <c r="W29" s="825" t="str">
        <f>'Translate&amp;Prices&amp;Logo'!$O$550</f>
        <v>Umieszczenie uchwytu</v>
      </c>
      <c r="X29" s="825"/>
      <c r="Y29" s="825"/>
      <c r="Z29" s="825"/>
      <c r="AA29" s="825"/>
      <c r="AB29" s="207"/>
      <c r="AC29" s="824">
        <f>IFERROR(VLOOKUP(Ram_1!$H$27,BM62:BN65,2,0),0)</f>
        <v>0</v>
      </c>
      <c r="AD29" s="824"/>
      <c r="AE29" s="824"/>
      <c r="AF29" s="824"/>
      <c r="AG29" s="824"/>
      <c r="AH29" s="824"/>
      <c r="AI29" s="824"/>
      <c r="AJ29" s="824"/>
      <c r="AK29" s="824"/>
      <c r="AL29" s="824"/>
      <c r="AM29" s="824"/>
      <c r="AN29" s="824"/>
      <c r="AO29" s="824"/>
      <c r="AR29" s="847"/>
      <c r="BD29" s="487" t="s">
        <v>4954</v>
      </c>
      <c r="BE29" s="1" t="s">
        <v>2101</v>
      </c>
      <c r="BM29" s="1" t="s">
        <v>566</v>
      </c>
      <c r="BN29" s="1" t="s">
        <v>488</v>
      </c>
      <c r="CA29" s="487" t="s">
        <v>5156</v>
      </c>
      <c r="CB29" t="s">
        <v>2288</v>
      </c>
      <c r="CK29" t="s">
        <v>2032</v>
      </c>
      <c r="CL29" t="s">
        <v>4017</v>
      </c>
    </row>
    <row r="30" spans="19:90" ht="16.350000000000001" customHeight="1">
      <c r="W30" s="825" t="str">
        <f>('Translate&amp;Prices&amp;Logo'!$O$174)&amp;" "&amp;"-"&amp;" "&amp;('Translate&amp;Prices&amp;Logo'!$O$169)&amp;" "&amp;" "&amp;1</f>
        <v>Ilość sztuk - Ramka  1</v>
      </c>
      <c r="X30" s="825"/>
      <c r="Y30" s="825"/>
      <c r="Z30" s="825"/>
      <c r="AA30" s="825"/>
      <c r="AB30" s="207"/>
      <c r="AC30" s="824">
        <f>Ram_1!$H$28</f>
        <v>0</v>
      </c>
      <c r="AD30" s="824"/>
      <c r="AE30" s="824"/>
      <c r="AF30" s="824"/>
      <c r="AG30" s="824"/>
      <c r="AH30" s="824"/>
      <c r="AI30" s="824"/>
      <c r="AJ30" s="824"/>
      <c r="AK30" s="824"/>
      <c r="AL30" s="824"/>
      <c r="AM30" s="824"/>
      <c r="AN30" s="824"/>
      <c r="AO30" s="824"/>
      <c r="AR30" s="847"/>
      <c r="BM30" s="1" t="s">
        <v>567</v>
      </c>
      <c r="BN30" s="1" t="s">
        <v>489</v>
      </c>
      <c r="CK30" s="400" t="s">
        <v>4018</v>
      </c>
      <c r="CL30" t="s">
        <v>5455</v>
      </c>
    </row>
    <row r="31" spans="19:90" ht="16.350000000000001" customHeight="1">
      <c r="AE31" s="1"/>
      <c r="AF31" s="1"/>
      <c r="AR31" s="847"/>
      <c r="BM31" s="1" t="s">
        <v>2220</v>
      </c>
      <c r="BN31" s="1" t="s">
        <v>2272</v>
      </c>
      <c r="CK31" s="400" t="s">
        <v>4019</v>
      </c>
      <c r="CL31" t="s">
        <v>5456</v>
      </c>
    </row>
    <row r="32" spans="19:90" ht="14.85" customHeight="1">
      <c r="AR32" s="847"/>
      <c r="BM32" s="1" t="s">
        <v>2323</v>
      </c>
      <c r="BN32" s="1" t="s">
        <v>486</v>
      </c>
      <c r="BS32" s="487"/>
      <c r="CK32" s="400" t="s">
        <v>4020</v>
      </c>
      <c r="CL32" t="s">
        <v>4113</v>
      </c>
    </row>
    <row r="33" spans="1:90" ht="14.85" customHeight="1">
      <c r="W33" s="836" t="s">
        <v>2572</v>
      </c>
      <c r="X33" s="836"/>
      <c r="Y33" s="836"/>
      <c r="Z33" s="836"/>
      <c r="AE33" s="836" t="s">
        <v>2573</v>
      </c>
      <c r="AF33" s="836"/>
      <c r="AG33" s="836"/>
      <c r="AH33" s="836"/>
      <c r="AR33" s="847"/>
      <c r="BM33" s="1" t="s">
        <v>2324</v>
      </c>
      <c r="BN33" s="1" t="s">
        <v>487</v>
      </c>
      <c r="BS33" s="487"/>
      <c r="CK33" s="400" t="s">
        <v>4021</v>
      </c>
      <c r="CL33" t="s">
        <v>4114</v>
      </c>
    </row>
    <row r="34" spans="1:90" ht="14.85" customHeight="1">
      <c r="AE34" s="827"/>
      <c r="AF34" s="828"/>
      <c r="AG34" s="828"/>
      <c r="AH34" s="828"/>
      <c r="AI34" s="828"/>
      <c r="AJ34" s="828"/>
      <c r="AK34" s="828"/>
      <c r="AL34" s="828"/>
      <c r="AM34" s="828"/>
      <c r="AN34" s="829"/>
      <c r="AR34" s="847"/>
      <c r="BM34" s="1" t="s">
        <v>2448</v>
      </c>
      <c r="BN34" s="1" t="s">
        <v>488</v>
      </c>
      <c r="BS34" s="487"/>
      <c r="CK34" s="400" t="s">
        <v>4022</v>
      </c>
      <c r="CL34" t="s">
        <v>4116</v>
      </c>
    </row>
    <row r="35" spans="1:90" ht="14.85" customHeight="1">
      <c r="AE35" s="830"/>
      <c r="AF35" s="831"/>
      <c r="AG35" s="831"/>
      <c r="AH35" s="831"/>
      <c r="AI35" s="831"/>
      <c r="AJ35" s="831"/>
      <c r="AK35" s="831"/>
      <c r="AL35" s="831"/>
      <c r="AM35" s="831"/>
      <c r="AN35" s="832"/>
      <c r="AR35" s="847"/>
      <c r="BM35" s="1" t="s">
        <v>2449</v>
      </c>
      <c r="BN35" s="1" t="s">
        <v>489</v>
      </c>
      <c r="BS35" s="487"/>
      <c r="CK35" s="400" t="s">
        <v>4023</v>
      </c>
      <c r="CL35" t="s">
        <v>4117</v>
      </c>
    </row>
    <row r="36" spans="1:90" ht="14.85" customHeight="1">
      <c r="AE36" s="830"/>
      <c r="AF36" s="831"/>
      <c r="AG36" s="831"/>
      <c r="AH36" s="831"/>
      <c r="AI36" s="831"/>
      <c r="AJ36" s="831"/>
      <c r="AK36" s="831"/>
      <c r="AL36" s="831"/>
      <c r="AM36" s="831"/>
      <c r="AN36" s="832"/>
      <c r="AR36" s="847"/>
      <c r="BM36" s="1" t="s">
        <v>1898</v>
      </c>
      <c r="BN36" s="1" t="s">
        <v>2272</v>
      </c>
      <c r="BS36" s="328"/>
      <c r="BT36" s="286"/>
      <c r="CK36" s="400" t="s">
        <v>4024</v>
      </c>
      <c r="CL36" t="s">
        <v>4118</v>
      </c>
    </row>
    <row r="37" spans="1:90" ht="14.85" customHeight="1">
      <c r="D37" s="844">
        <f>IF(OR(Ram_1!$AC$25="x",Ram_1!$AJ$26="x",Ram_1!$AC$9="x",Ram_1!$AJ$7="x",Ram_1!$AB$16="x",Ram_1!$AM$23="x",Ram_1!$AN$19="x",Ram_1!$AD$10="x"),'Translate&amp;Prices&amp;Logo'!$B$588,0)</f>
        <v>0</v>
      </c>
      <c r="E37" s="844"/>
      <c r="F37" s="844"/>
      <c r="G37" s="844"/>
      <c r="H37" s="844"/>
      <c r="I37" s="844"/>
      <c r="J37" s="844"/>
      <c r="K37" s="844"/>
      <c r="L37" s="844"/>
      <c r="M37" s="844"/>
      <c r="N37" s="844"/>
      <c r="O37" s="844"/>
      <c r="P37" s="844"/>
      <c r="AE37" s="830"/>
      <c r="AF37" s="831"/>
      <c r="AG37" s="831"/>
      <c r="AH37" s="831"/>
      <c r="AI37" s="831"/>
      <c r="AJ37" s="831"/>
      <c r="AK37" s="831"/>
      <c r="AL37" s="831"/>
      <c r="AM37" s="831"/>
      <c r="AN37" s="832"/>
      <c r="AR37" s="847"/>
      <c r="BM37" s="487" t="s">
        <v>4992</v>
      </c>
      <c r="BN37" s="1" t="s">
        <v>486</v>
      </c>
      <c r="BS37" s="286"/>
      <c r="BT37" s="286"/>
      <c r="CK37" s="401" t="s">
        <v>4025</v>
      </c>
      <c r="CL37" t="s">
        <v>5455</v>
      </c>
    </row>
    <row r="38" spans="1:90" ht="14.85" customHeight="1">
      <c r="AE38" s="830"/>
      <c r="AF38" s="831"/>
      <c r="AG38" s="831"/>
      <c r="AH38" s="831"/>
      <c r="AI38" s="831"/>
      <c r="AJ38" s="831"/>
      <c r="AK38" s="831"/>
      <c r="AL38" s="831"/>
      <c r="AM38" s="831"/>
      <c r="AN38" s="832"/>
      <c r="AR38" s="847"/>
      <c r="BM38" s="487" t="s">
        <v>4993</v>
      </c>
      <c r="BN38" s="1" t="s">
        <v>487</v>
      </c>
      <c r="BS38" s="286"/>
      <c r="BT38" s="286"/>
      <c r="CK38" s="401" t="s">
        <v>3582</v>
      </c>
      <c r="CL38" t="s">
        <v>5456</v>
      </c>
    </row>
    <row r="39" spans="1:90" ht="14.85" customHeight="1" thickBot="1">
      <c r="AE39" s="830"/>
      <c r="AF39" s="831"/>
      <c r="AG39" s="831"/>
      <c r="AH39" s="831"/>
      <c r="AI39" s="831"/>
      <c r="AJ39" s="831"/>
      <c r="AK39" s="831"/>
      <c r="AL39" s="831"/>
      <c r="AM39" s="831"/>
      <c r="AN39" s="832"/>
      <c r="AR39" s="847"/>
      <c r="BM39" s="487" t="s">
        <v>4994</v>
      </c>
      <c r="BN39" s="1" t="s">
        <v>488</v>
      </c>
      <c r="BS39" s="286"/>
      <c r="BT39" s="286"/>
      <c r="CK39" s="401" t="s">
        <v>3578</v>
      </c>
      <c r="CL39" t="s">
        <v>4113</v>
      </c>
    </row>
    <row r="40" spans="1:90" ht="14.85" customHeight="1" thickBot="1">
      <c r="G40" s="816" t="str">
        <f>'Translate&amp;Prices&amp;Logo'!$O$175</f>
        <v>Szerokość</v>
      </c>
      <c r="H40" s="817">
        <f>Ram_1!AG30</f>
        <v>0</v>
      </c>
      <c r="I40" s="817">
        <f>Ram_1!AH30</f>
        <v>0</v>
      </c>
      <c r="J40" s="818">
        <f>Ram_1!AI30</f>
        <v>0</v>
      </c>
      <c r="K40" s="818">
        <f>Ram_1!AJ30</f>
        <v>0</v>
      </c>
      <c r="L40" s="819">
        <f>Ram_1!AK30</f>
        <v>0</v>
      </c>
      <c r="AE40" s="830"/>
      <c r="AF40" s="831"/>
      <c r="AG40" s="831"/>
      <c r="AH40" s="831"/>
      <c r="AI40" s="831"/>
      <c r="AJ40" s="831"/>
      <c r="AK40" s="831"/>
      <c r="AL40" s="831"/>
      <c r="AM40" s="831"/>
      <c r="AN40" s="832"/>
      <c r="AR40" s="847"/>
      <c r="BM40" s="487" t="s">
        <v>4995</v>
      </c>
      <c r="BN40" s="1" t="s">
        <v>489</v>
      </c>
      <c r="CK40" s="401" t="s">
        <v>3581</v>
      </c>
      <c r="CL40" t="s">
        <v>4114</v>
      </c>
    </row>
    <row r="41" spans="1:90" ht="21" customHeight="1">
      <c r="AE41" s="833"/>
      <c r="AF41" s="834"/>
      <c r="AG41" s="834"/>
      <c r="AH41" s="834"/>
      <c r="AI41" s="834"/>
      <c r="AJ41" s="834"/>
      <c r="AK41" s="834"/>
      <c r="AL41" s="834"/>
      <c r="AM41" s="834"/>
      <c r="AN41" s="835"/>
      <c r="AR41" s="847"/>
      <c r="BM41" s="487" t="s">
        <v>4996</v>
      </c>
      <c r="BN41" s="1" t="s">
        <v>2272</v>
      </c>
      <c r="CK41" s="401" t="s">
        <v>3579</v>
      </c>
      <c r="CL41" t="s">
        <v>4116</v>
      </c>
    </row>
    <row r="42" spans="1:90" ht="14.85" customHeight="1">
      <c r="AR42" s="847"/>
      <c r="BM42" s="1" t="s">
        <v>221</v>
      </c>
      <c r="BN42" s="1" t="s">
        <v>2086</v>
      </c>
      <c r="CK42" s="401" t="s">
        <v>3580</v>
      </c>
      <c r="CL42" t="s">
        <v>4117</v>
      </c>
    </row>
    <row r="43" spans="1:90" ht="14.85" customHeight="1">
      <c r="AR43" s="847"/>
      <c r="BM43" s="1" t="s">
        <v>222</v>
      </c>
      <c r="BN43" s="1" t="s">
        <v>2271</v>
      </c>
      <c r="CK43" s="401" t="s">
        <v>3583</v>
      </c>
      <c r="CL43" t="s">
        <v>4118</v>
      </c>
    </row>
    <row r="44" spans="1:90" ht="14.85" customHeight="1" thickBot="1">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276"/>
      <c r="AF44" s="277"/>
      <c r="AG44" s="123"/>
      <c r="AH44" s="123"/>
      <c r="AI44" s="123"/>
      <c r="AJ44" s="123"/>
      <c r="AK44" s="123"/>
      <c r="AL44" s="123"/>
      <c r="AM44" s="123"/>
      <c r="AN44" s="123"/>
      <c r="AO44" s="123"/>
      <c r="AP44" s="123"/>
      <c r="AQ44" s="123"/>
      <c r="AR44" s="123"/>
      <c r="BM44" s="1" t="s">
        <v>212</v>
      </c>
      <c r="BN44" s="1" t="s">
        <v>483</v>
      </c>
      <c r="CK44" s="402" t="s">
        <v>4026</v>
      </c>
      <c r="CL44" t="s">
        <v>5455</v>
      </c>
    </row>
    <row r="45" spans="1:90" ht="35.1" customHeight="1" thickBot="1">
      <c r="J45" s="273"/>
      <c r="K45" s="273"/>
      <c r="L45" s="273"/>
      <c r="M45" s="273"/>
      <c r="N45" s="273"/>
      <c r="O45" s="273"/>
      <c r="P45" s="273"/>
      <c r="Q45" s="273"/>
      <c r="R45" s="273"/>
      <c r="S45" s="273"/>
      <c r="T45" s="273"/>
      <c r="U45" s="273"/>
      <c r="V45" s="273"/>
      <c r="W45" s="840" t="str">
        <f>'Translate&amp;Prices&amp;Logo'!$O$256</f>
        <v>Numer zamówienia</v>
      </c>
      <c r="X45" s="840"/>
      <c r="Y45" s="840"/>
      <c r="Z45" s="840"/>
      <c r="AA45" s="840"/>
      <c r="AB45" s="207"/>
      <c r="AC45" s="837"/>
      <c r="AD45" s="838"/>
      <c r="AE45" s="838"/>
      <c r="AF45" s="838"/>
      <c r="AG45" s="838"/>
      <c r="AH45" s="838"/>
      <c r="AI45" s="838"/>
      <c r="AJ45" s="838"/>
      <c r="AK45" s="838"/>
      <c r="AL45" s="838"/>
      <c r="AM45" s="838"/>
      <c r="AN45" s="838"/>
      <c r="AO45" s="839"/>
      <c r="AR45" s="847" t="s">
        <v>2575</v>
      </c>
      <c r="BM45" s="1" t="s">
        <v>211</v>
      </c>
      <c r="BN45" s="1" t="s">
        <v>484</v>
      </c>
      <c r="CK45" s="402" t="s">
        <v>4027</v>
      </c>
      <c r="CL45" t="s">
        <v>5456</v>
      </c>
    </row>
    <row r="46" spans="1:90" ht="16.350000000000001" customHeight="1">
      <c r="W46" s="825" t="str">
        <f>'Translate&amp;Prices&amp;Logo'!$O$542</f>
        <v>Połączenie 2 profili</v>
      </c>
      <c r="X46" s="825"/>
      <c r="Y46" s="825"/>
      <c r="Z46" s="825"/>
      <c r="AA46" s="825"/>
      <c r="AB46" s="207"/>
      <c r="AC46" s="848" t="str">
        <f>IF(kombinace_2!$H$1=TRUE,"Tak","Nie")</f>
        <v>Nie</v>
      </c>
      <c r="AD46" s="848"/>
      <c r="AE46" s="848"/>
      <c r="AF46" s="848"/>
      <c r="AG46" s="848"/>
      <c r="AH46" s="848"/>
      <c r="AI46" s="848"/>
      <c r="AJ46" s="848"/>
      <c r="AK46" s="848"/>
      <c r="AL46" s="848"/>
      <c r="AM46" s="848"/>
      <c r="AN46" s="848"/>
      <c r="AO46" s="848"/>
      <c r="AR46" s="847"/>
      <c r="BM46" s="1" t="s">
        <v>2088</v>
      </c>
      <c r="BN46" s="1" t="s">
        <v>2086</v>
      </c>
      <c r="CK46" s="402" t="s">
        <v>4028</v>
      </c>
      <c r="CL46" t="s">
        <v>3572</v>
      </c>
    </row>
    <row r="47" spans="1:90" ht="16.350000000000001" customHeight="1">
      <c r="W47" s="825" t="str">
        <f>'Translate&amp;Prices&amp;Logo'!$O$172</f>
        <v>Rodzaj profilu</v>
      </c>
      <c r="X47" s="825"/>
      <c r="Y47" s="825"/>
      <c r="Z47" s="825"/>
      <c r="AA47" s="825"/>
      <c r="AB47" s="207"/>
      <c r="AC47" s="824">
        <f>IFERROR(VLOOKUP(Ram_2!$H$8,'Translate&amp;Prices&amp;Logo'!AA1:AB282,2,0),Ram_2!$H$8)</f>
        <v>0</v>
      </c>
      <c r="AD47" s="824"/>
      <c r="AE47" s="824"/>
      <c r="AF47" s="824"/>
      <c r="AG47" s="824"/>
      <c r="AH47" s="824"/>
      <c r="AI47" s="824"/>
      <c r="AJ47" s="824"/>
      <c r="AK47" s="824"/>
      <c r="AL47" s="824"/>
      <c r="AM47" s="824"/>
      <c r="AN47" s="824"/>
      <c r="AO47" s="824"/>
      <c r="AR47" s="847"/>
      <c r="BM47" s="1" t="s">
        <v>222</v>
      </c>
      <c r="BN47" s="1" t="s">
        <v>2271</v>
      </c>
      <c r="CK47" s="402" t="s">
        <v>4029</v>
      </c>
      <c r="CL47" t="s">
        <v>3575</v>
      </c>
    </row>
    <row r="48" spans="1:90" ht="16.350000000000001" customHeight="1">
      <c r="W48" s="825" t="str">
        <f>'Translate&amp;Prices&amp;Logo'!$O$543</f>
        <v>Szprosy</v>
      </c>
      <c r="X48" s="825"/>
      <c r="Y48" s="825"/>
      <c r="Z48" s="825"/>
      <c r="AA48" s="825"/>
      <c r="AB48" s="207"/>
      <c r="AC48" s="824" t="str">
        <f>IFERROR(VLOOKUP(Ram_2!$AU$10,AU48:AV51,2,0),0)</f>
        <v>Nie</v>
      </c>
      <c r="AD48" s="824"/>
      <c r="AE48" s="824"/>
      <c r="AF48" s="824"/>
      <c r="AG48" s="824"/>
      <c r="AH48" s="824"/>
      <c r="AI48" s="824"/>
      <c r="AJ48" s="824"/>
      <c r="AK48" s="824"/>
      <c r="AL48" s="824"/>
      <c r="AM48" s="824"/>
      <c r="AN48" s="824"/>
      <c r="AO48" s="824"/>
      <c r="AR48" s="847"/>
      <c r="AU48">
        <v>0</v>
      </c>
      <c r="AV48" t="str">
        <f>'Translate&amp;Prices&amp;Logo'!$O$557</f>
        <v>Nie</v>
      </c>
      <c r="AZ48">
        <v>2</v>
      </c>
      <c r="BA48" t="str">
        <f>'Translate&amp;Prices&amp;Logo'!$O$551</f>
        <v>Zawiasy</v>
      </c>
      <c r="BM48" s="1" t="s">
        <v>417</v>
      </c>
      <c r="BN48" s="1" t="s">
        <v>483</v>
      </c>
      <c r="BX48" s="1">
        <v>1</v>
      </c>
      <c r="BY48" s="1" t="str">
        <f>'Translate&amp;Prices&amp;Logo'!$O$100</f>
        <v>Bez modyfikacji</v>
      </c>
      <c r="CA48"/>
      <c r="CB48"/>
      <c r="CK48" s="402" t="s">
        <v>4030</v>
      </c>
      <c r="CL48" t="s">
        <v>4113</v>
      </c>
    </row>
    <row r="49" spans="19:90" ht="16.350000000000001" customHeight="1">
      <c r="W49" s="278"/>
      <c r="X49" s="278"/>
      <c r="Y49" s="278"/>
      <c r="Z49" s="278"/>
      <c r="AA49" s="278"/>
      <c r="AB49" s="207"/>
      <c r="AC49" s="849" t="str">
        <f>'Translate&amp;Prices&amp;Logo'!$O$558</f>
        <v>Poziomo (termin dostawy 4 tygodnie)</v>
      </c>
      <c r="AD49" s="849"/>
      <c r="AE49" s="849"/>
      <c r="AF49" s="849"/>
      <c r="AG49" s="849"/>
      <c r="AH49" s="849"/>
      <c r="AI49" s="849"/>
      <c r="AJ49" s="849" t="str">
        <f>'Translate&amp;Prices&amp;Logo'!$O$559</f>
        <v>Pionowo (termin dostawy 4 tygodnie)</v>
      </c>
      <c r="AK49" s="849"/>
      <c r="AL49" s="849"/>
      <c r="AM49" s="849"/>
      <c r="AN49" s="849"/>
      <c r="AO49" s="849"/>
      <c r="AR49" s="847"/>
      <c r="AU49">
        <v>1</v>
      </c>
      <c r="AV49" t="str">
        <f>'Translate&amp;Prices&amp;Logo'!$O$558</f>
        <v>Poziomo (termin dostawy 4 tygodnie)</v>
      </c>
      <c r="AZ49">
        <v>3</v>
      </c>
      <c r="BA49" t="str">
        <f>'Translate&amp;Prices&amp;Logo'!$O$552</f>
        <v>Podnośniki</v>
      </c>
      <c r="BM49" s="1" t="s">
        <v>418</v>
      </c>
      <c r="BN49" s="1" t="s">
        <v>484</v>
      </c>
      <c r="BX49" s="1">
        <v>2</v>
      </c>
      <c r="BY49" s="1" t="str">
        <f>'Translate&amp;Prices&amp;Logo'!$O$101</f>
        <v>Hartowane</v>
      </c>
      <c r="CA49"/>
      <c r="CB49"/>
      <c r="CK49" s="402" t="s">
        <v>4031</v>
      </c>
      <c r="CL49" t="s">
        <v>4114</v>
      </c>
    </row>
    <row r="50" spans="19:90" ht="16.350000000000001" customHeight="1">
      <c r="W50" s="825" t="str">
        <f>('Translate&amp;Prices&amp;Logo'!$O$543)&amp;" "&amp;"("&amp;'Translate&amp;Prices&amp;Logo'!$O$174&amp;")"</f>
        <v>Szprosy (Ilość sztuk)</v>
      </c>
      <c r="X50" s="825"/>
      <c r="Y50" s="825"/>
      <c r="Z50" s="825"/>
      <c r="AA50" s="825"/>
      <c r="AB50" s="207"/>
      <c r="AC50" s="824">
        <f>Ram_2!$H$11</f>
        <v>0</v>
      </c>
      <c r="AD50" s="824"/>
      <c r="AE50" s="824"/>
      <c r="AF50" s="824"/>
      <c r="AG50" s="824"/>
      <c r="AH50" s="824"/>
      <c r="AI50" s="824"/>
      <c r="AJ50" s="824">
        <f>Ram_2!$M$11</f>
        <v>0</v>
      </c>
      <c r="AK50" s="824"/>
      <c r="AL50" s="824"/>
      <c r="AM50" s="824"/>
      <c r="AN50" s="824"/>
      <c r="AO50" s="824"/>
      <c r="AR50" s="847"/>
      <c r="AU50">
        <v>2</v>
      </c>
      <c r="AV50" t="str">
        <f>'Translate&amp;Prices&amp;Logo'!$O$559</f>
        <v>Pionowo (termin dostawy 4 tygodnie)</v>
      </c>
      <c r="BM50" s="1" t="s">
        <v>2086</v>
      </c>
      <c r="BN50" s="1" t="s">
        <v>2086</v>
      </c>
      <c r="BX50" s="1">
        <v>3</v>
      </c>
      <c r="BY50" s="1" t="str">
        <f>'Translate&amp;Prices&amp;Logo'!$O$102</f>
        <v>Folia</v>
      </c>
      <c r="CA50"/>
      <c r="CB50"/>
      <c r="CK50" s="402" t="s">
        <v>4032</v>
      </c>
      <c r="CL50" t="s">
        <v>4012</v>
      </c>
    </row>
    <row r="51" spans="19:90" ht="16.350000000000001" customHeight="1">
      <c r="W51" s="825" t="str">
        <f>'Translate&amp;Prices&amp;Logo'!$O$258</f>
        <v>Typ okucia</v>
      </c>
      <c r="X51" s="825"/>
      <c r="Y51" s="825"/>
      <c r="Z51" s="825"/>
      <c r="AA51" s="825"/>
      <c r="AB51" s="207"/>
      <c r="AC51" s="824">
        <f>IFERROR(VLOOKUP(Ram_2!$AU$9,AZ48:BA49,2,0),0)</f>
        <v>0</v>
      </c>
      <c r="AD51" s="824"/>
      <c r="AE51" s="824"/>
      <c r="AF51" s="824"/>
      <c r="AG51" s="824"/>
      <c r="AH51" s="824"/>
      <c r="AI51" s="824"/>
      <c r="AJ51" s="824"/>
      <c r="AK51" s="824"/>
      <c r="AL51" s="824"/>
      <c r="AM51" s="824"/>
      <c r="AN51" s="824"/>
      <c r="AO51" s="824"/>
      <c r="AR51" s="847"/>
      <c r="AU51">
        <v>3</v>
      </c>
      <c r="AV51" t="str">
        <f>'Translate&amp;Prices&amp;Logo'!$O$560</f>
        <v>Poziomo i pionowo (termin dostawy 4 tygodnie)</v>
      </c>
      <c r="BM51" s="1" t="s">
        <v>2271</v>
      </c>
      <c r="BN51" s="1" t="s">
        <v>2271</v>
      </c>
      <c r="CA51"/>
      <c r="CB51"/>
      <c r="CK51" s="402" t="s">
        <v>4033</v>
      </c>
      <c r="CL51" t="s">
        <v>4013</v>
      </c>
    </row>
    <row r="52" spans="19:90" ht="16.350000000000001" customHeight="1">
      <c r="W52" s="825" t="str">
        <f>'Translate&amp;Prices&amp;Logo'!$O$544</f>
        <v>Marka okucia</v>
      </c>
      <c r="X52" s="825"/>
      <c r="Y52" s="825"/>
      <c r="Z52" s="825"/>
      <c r="AA52" s="825"/>
      <c r="AB52" s="207"/>
      <c r="AC52" s="824">
        <f>Ram_2!$H$13</f>
        <v>0</v>
      </c>
      <c r="AD52" s="824"/>
      <c r="AE52" s="824"/>
      <c r="AF52" s="824"/>
      <c r="AG52" s="824"/>
      <c r="AH52" s="824"/>
      <c r="AI52" s="824"/>
      <c r="AJ52" s="824"/>
      <c r="AK52" s="824"/>
      <c r="AL52" s="824"/>
      <c r="AM52" s="824"/>
      <c r="AN52" s="824"/>
      <c r="AO52" s="824"/>
      <c r="AR52" s="847"/>
      <c r="BM52" s="1" t="s">
        <v>483</v>
      </c>
      <c r="BN52" s="1" t="s">
        <v>483</v>
      </c>
      <c r="CA52"/>
      <c r="CB52"/>
      <c r="CK52" s="402" t="s">
        <v>4034</v>
      </c>
      <c r="CL52" t="s">
        <v>4317</v>
      </c>
    </row>
    <row r="53" spans="19:90" ht="16.350000000000001" customHeight="1" thickBot="1">
      <c r="W53" s="825" t="str">
        <f>'Translate&amp;Prices&amp;Logo'!$O$546</f>
        <v>Nałożenie</v>
      </c>
      <c r="X53" s="825"/>
      <c r="Y53" s="825"/>
      <c r="Z53" s="825"/>
      <c r="AA53" s="825"/>
      <c r="AB53" s="207"/>
      <c r="AC53" s="824">
        <f>IFERROR(VLOOKUP(Ram_2!$H$14,$BD$12:$BE$29,2,0),0)</f>
        <v>0</v>
      </c>
      <c r="AD53" s="824"/>
      <c r="AE53" s="824"/>
      <c r="AF53" s="824"/>
      <c r="AG53" s="824"/>
      <c r="AH53" s="824"/>
      <c r="AI53" s="824"/>
      <c r="AJ53" s="824"/>
      <c r="AK53" s="824"/>
      <c r="AL53" s="824"/>
      <c r="AM53" s="824"/>
      <c r="AN53" s="824"/>
      <c r="AO53" s="824"/>
      <c r="AR53" s="847"/>
      <c r="BM53" s="1" t="s">
        <v>484</v>
      </c>
      <c r="BN53" s="1" t="s">
        <v>484</v>
      </c>
      <c r="CA53"/>
      <c r="CB53"/>
      <c r="CK53" s="402" t="s">
        <v>4035</v>
      </c>
      <c r="CL53" t="s">
        <v>4316</v>
      </c>
    </row>
    <row r="54" spans="19:90" ht="16.350000000000001" customHeight="1">
      <c r="S54" s="822">
        <f>Ram_2!AR14</f>
        <v>0</v>
      </c>
      <c r="W54" s="825" t="str">
        <f>'Translate&amp;Prices&amp;Logo'!$O$545</f>
        <v>Wariant okucia</v>
      </c>
      <c r="X54" s="825"/>
      <c r="Y54" s="825"/>
      <c r="Z54" s="825"/>
      <c r="AA54" s="825"/>
      <c r="AB54" s="207"/>
      <c r="AC54" s="399">
        <f>IFERROR(VLOOKUP(Ram_2!$H$15,kombinace_1!$ED$2:$EE$760,2,0),Ram_2!$H$15)</f>
        <v>0</v>
      </c>
      <c r="AD54" s="399"/>
      <c r="AE54" s="399"/>
      <c r="AF54" s="399"/>
      <c r="AG54" s="399"/>
      <c r="AH54" s="399"/>
      <c r="AI54" s="399"/>
      <c r="AJ54" s="841" t="str">
        <f>IF(AC54='Translate&amp;Prices&amp;Logo'!C698,VLOOKUP(Ram_2!H17,'Translate&amp;Prices&amp;Logo'!C699:D746,2,0),"")</f>
        <v/>
      </c>
      <c r="AK54" s="841"/>
      <c r="AL54" s="841"/>
      <c r="AM54" s="841"/>
      <c r="AN54" s="841"/>
      <c r="AO54" s="841"/>
      <c r="AR54" s="847"/>
      <c r="BM54" s="1" t="s">
        <v>2087</v>
      </c>
      <c r="BN54" s="1" t="s">
        <v>2086</v>
      </c>
      <c r="CA54"/>
      <c r="CB54"/>
      <c r="CK54" s="402" t="s">
        <v>4036</v>
      </c>
      <c r="CL54" t="s">
        <v>3574</v>
      </c>
    </row>
    <row r="55" spans="19:90" ht="16.350000000000001" customHeight="1">
      <c r="S55" s="823">
        <f>Ram_1!AR51</f>
        <v>0</v>
      </c>
      <c r="W55" s="825" t="str">
        <f>'Translate&amp;Prices&amp;Logo'!$O$218</f>
        <v>Wybierz pozycję ramki</v>
      </c>
      <c r="X55" s="825"/>
      <c r="Y55" s="825"/>
      <c r="Z55" s="825"/>
      <c r="AA55" s="825"/>
      <c r="AB55" s="824">
        <f>IFERROR(VLOOKUP(Ram_2!$F$16,BI12:BJ23,2,0),0)</f>
        <v>0</v>
      </c>
      <c r="AC55" s="824"/>
      <c r="AD55" s="824"/>
      <c r="AE55" s="824"/>
      <c r="AF55" s="824"/>
      <c r="AG55" s="850" t="str">
        <f>'Translate&amp;Prices&amp;Logo'!$O$232</f>
        <v>Rodzaj drugiej ramki</v>
      </c>
      <c r="AH55" s="850"/>
      <c r="AI55" s="850"/>
      <c r="AJ55" s="824">
        <f>IFERROR(VLOOKUP(Ram_2!$N$16,BM12:BN41,2,0),0)</f>
        <v>0</v>
      </c>
      <c r="AK55" s="824"/>
      <c r="AL55" s="824"/>
      <c r="AM55" s="824"/>
      <c r="AN55" s="824"/>
      <c r="AO55" s="824"/>
      <c r="AR55" s="847"/>
      <c r="BM55" s="1" t="s">
        <v>2089</v>
      </c>
      <c r="BN55" s="1" t="s">
        <v>2271</v>
      </c>
      <c r="CA55"/>
      <c r="CB55"/>
      <c r="CK55" s="402" t="s">
        <v>4037</v>
      </c>
      <c r="CL55" t="s">
        <v>4319</v>
      </c>
    </row>
    <row r="56" spans="19:90" ht="16.350000000000001" customHeight="1">
      <c r="S56" s="823">
        <f>Ram_1!AR52</f>
        <v>0</v>
      </c>
      <c r="W56" s="825" t="str">
        <f>IF(AC51='Translate&amp;Prices&amp;Logo'!O551,'Translate&amp;Prices&amp;Logo'!O238,'Translate&amp;Prices&amp;Logo'!$O$226)</f>
        <v>Umieszczenie</v>
      </c>
      <c r="X56" s="825"/>
      <c r="Y56" s="825"/>
      <c r="Z56" s="825"/>
      <c r="AA56" s="825"/>
      <c r="AB56" s="207"/>
      <c r="AC56" s="399" t="str">
        <f>IFERROR((IF(Ram_2!H12='Translate&amp;Prices&amp;Logo'!B552,VLOOKUP(Ram_2!$N$16,BM42:BN65,2,0),VLOOKUP(Ram_2!$H$17,BM42:BN65,2,0))),"")</f>
        <v/>
      </c>
      <c r="AD56" s="399"/>
      <c r="AE56" s="399"/>
      <c r="AF56" s="399"/>
      <c r="AG56" s="399"/>
      <c r="AH56" s="399"/>
      <c r="AI56" s="399"/>
      <c r="AJ56" s="399"/>
      <c r="AK56" s="399"/>
      <c r="AL56" s="399"/>
      <c r="AM56" s="399"/>
      <c r="AN56" s="399"/>
      <c r="AO56" s="399"/>
      <c r="AR56" s="847"/>
      <c r="BM56" s="1" t="s">
        <v>560</v>
      </c>
      <c r="BN56" s="1" t="s">
        <v>483</v>
      </c>
      <c r="CA56"/>
      <c r="CB56"/>
      <c r="CK56" s="402" t="s">
        <v>4038</v>
      </c>
      <c r="CL56" t="s">
        <v>3577</v>
      </c>
    </row>
    <row r="57" spans="19:90" ht="16.350000000000001" customHeight="1">
      <c r="S57" s="823">
        <f>Ram_1!AR53</f>
        <v>0</v>
      </c>
      <c r="W57" s="825" t="str">
        <f>'Translate&amp;Prices&amp;Logo'!$O$547</f>
        <v>Zawiasy do podnośników</v>
      </c>
      <c r="X57" s="825"/>
      <c r="Y57" s="825"/>
      <c r="Z57" s="825"/>
      <c r="AA57" s="825"/>
      <c r="AB57" s="207"/>
      <c r="AC57" s="824">
        <f>IFERROR((VLOOKUP(Ram_2!$H$18,$CK$2:$CL$90,2,0)),Ram_2!$H$18)</f>
        <v>0</v>
      </c>
      <c r="AD57" s="824"/>
      <c r="AE57" s="824"/>
      <c r="AF57" s="824"/>
      <c r="AG57" s="824"/>
      <c r="AH57" s="824"/>
      <c r="AI57" s="824"/>
      <c r="AJ57" s="824"/>
      <c r="AK57" s="824"/>
      <c r="AL57" s="824"/>
      <c r="AM57" s="824"/>
      <c r="AN57" s="824"/>
      <c r="AO57" s="824"/>
      <c r="AR57" s="847"/>
      <c r="BM57" s="1" t="s">
        <v>561</v>
      </c>
      <c r="BN57" s="1" t="s">
        <v>484</v>
      </c>
      <c r="CA57"/>
      <c r="CB57"/>
      <c r="CK57" s="402" t="s">
        <v>4039</v>
      </c>
      <c r="CL57" t="s">
        <v>4116</v>
      </c>
    </row>
    <row r="58" spans="19:90" ht="16.350000000000001" customHeight="1">
      <c r="S58" s="823">
        <f>Ram_1!AR54</f>
        <v>0</v>
      </c>
      <c r="W58" s="825" t="str">
        <f>'Translate&amp;Prices&amp;Logo'!$O$223</f>
        <v>Ilość zawiasów na 1 ramkę</v>
      </c>
      <c r="X58" s="825"/>
      <c r="Y58" s="825"/>
      <c r="Z58" s="825"/>
      <c r="AA58" s="825"/>
      <c r="AB58" s="207"/>
      <c r="AC58" s="824">
        <f>Ram_2!$H$19</f>
        <v>0</v>
      </c>
      <c r="AD58" s="824"/>
      <c r="AE58" s="824"/>
      <c r="AF58" s="824"/>
      <c r="AG58" s="824"/>
      <c r="AH58" s="824"/>
      <c r="AI58" s="824"/>
      <c r="AJ58" s="824"/>
      <c r="AK58" s="824"/>
      <c r="AL58" s="824"/>
      <c r="AM58" s="824"/>
      <c r="AN58" s="824"/>
      <c r="AO58" s="824"/>
      <c r="AR58" s="847"/>
      <c r="BM58" s="1" t="s">
        <v>2322</v>
      </c>
      <c r="BN58" s="1" t="s">
        <v>2086</v>
      </c>
      <c r="CA58"/>
      <c r="CB58"/>
      <c r="CK58" s="402" t="s">
        <v>4040</v>
      </c>
      <c r="CL58" t="s">
        <v>4015</v>
      </c>
    </row>
    <row r="59" spans="19:90" ht="16.350000000000001" customHeight="1">
      <c r="S59" s="820" t="str">
        <f>'Translate&amp;Prices&amp;Logo'!$O$176</f>
        <v>Wysokość</v>
      </c>
      <c r="W59" s="825" t="e">
        <f>'Translate&amp;Prices&amp;Logo'!$O$242&amp;" "&amp;VLOOKUP(Ram_2!H17,kombinace_1!$BY$32:$CC$35,5,0)</f>
        <v>#N/A</v>
      </c>
      <c r="X59" s="825"/>
      <c r="Y59" s="825"/>
      <c r="Z59" s="825"/>
      <c r="AA59" s="825"/>
      <c r="AB59" s="399"/>
      <c r="AC59" s="824">
        <f>Ram_2!$F$20</f>
        <v>100</v>
      </c>
      <c r="AD59" s="824"/>
      <c r="AE59" s="824"/>
      <c r="AF59" s="824"/>
      <c r="AG59" s="825" t="e">
        <f>'Translate&amp;Prices&amp;Logo'!$O$242&amp;" "&amp;VLOOKUP(Ram_2!H17,kombinace_1!$BY$32:$CD$35,6,0)</f>
        <v>#N/A</v>
      </c>
      <c r="AH59" s="825"/>
      <c r="AI59" s="825"/>
      <c r="AJ59" s="825"/>
      <c r="AK59" s="825"/>
      <c r="AL59" s="824">
        <f>Ram_2!$N$20</f>
        <v>100</v>
      </c>
      <c r="AM59" s="824"/>
      <c r="AN59" s="824"/>
      <c r="AO59" s="824"/>
      <c r="AR59" s="847"/>
      <c r="BM59" s="1" t="s">
        <v>1734</v>
      </c>
      <c r="BN59" s="1" t="s">
        <v>2271</v>
      </c>
      <c r="CA59"/>
      <c r="CB59"/>
      <c r="CK59" s="402" t="s">
        <v>4041</v>
      </c>
      <c r="CL59" t="s">
        <v>4117</v>
      </c>
    </row>
    <row r="60" spans="19:90" ht="16.350000000000001" customHeight="1">
      <c r="S60" s="820">
        <f>Ram_1!AR56</f>
        <v>0</v>
      </c>
      <c r="W60" s="403" t="str">
        <f>'Translate&amp;Prices&amp;Logo'!$O$653</f>
        <v>Wypełnienie z siatki</v>
      </c>
      <c r="X60" s="278"/>
      <c r="Y60" s="278"/>
      <c r="Z60" s="278"/>
      <c r="AA60" s="278"/>
      <c r="AB60" s="207"/>
      <c r="AC60" s="826" t="str">
        <f>IF(kombinace_2!FC2=TRUE,"Tak","Nie")</f>
        <v>Nie</v>
      </c>
      <c r="AD60" s="826"/>
      <c r="AE60" s="826"/>
      <c r="AF60" s="826"/>
      <c r="AG60" s="826"/>
      <c r="AH60" s="826"/>
      <c r="AI60" s="826"/>
      <c r="AJ60" s="826"/>
      <c r="AK60" s="826"/>
      <c r="AL60" s="826"/>
      <c r="AM60" s="826"/>
      <c r="AN60" s="826"/>
      <c r="AO60" s="826"/>
      <c r="AR60" s="847"/>
      <c r="BM60" s="1" t="s">
        <v>1693</v>
      </c>
      <c r="BN60" s="1" t="s">
        <v>483</v>
      </c>
      <c r="CA60"/>
      <c r="CB60"/>
      <c r="CK60" s="402" t="s">
        <v>4042</v>
      </c>
      <c r="CL60" t="s">
        <v>4118</v>
      </c>
    </row>
    <row r="61" spans="19:90" ht="16.350000000000001" customHeight="1">
      <c r="S61" s="820">
        <f>Ram_1!AR57</f>
        <v>0</v>
      </c>
      <c r="W61" s="825" t="str">
        <f>'Translate&amp;Prices&amp;Logo'!$O$173</f>
        <v>Rodzaj szkła</v>
      </c>
      <c r="X61" s="825"/>
      <c r="Y61" s="825"/>
      <c r="Z61" s="825"/>
      <c r="AA61" s="825"/>
      <c r="AB61" s="207"/>
      <c r="AC61" s="824" t="str">
        <f>IFERROR(VLOOKUP(kombinace_2!$V$1,BX48:BY50,2,0),0)</f>
        <v>Bez modyfikacji</v>
      </c>
      <c r="AD61" s="824"/>
      <c r="AE61" s="824"/>
      <c r="AF61" s="824"/>
      <c r="AG61" s="824"/>
      <c r="AH61" s="824"/>
      <c r="AI61" s="824"/>
      <c r="AJ61" s="824"/>
      <c r="AK61" s="824"/>
      <c r="AL61" s="824"/>
      <c r="AM61" s="824"/>
      <c r="AN61" s="824"/>
      <c r="AO61" s="824"/>
      <c r="AR61" s="847"/>
      <c r="BM61" s="1" t="s">
        <v>1694</v>
      </c>
      <c r="BN61" s="1" t="s">
        <v>484</v>
      </c>
      <c r="CA61"/>
      <c r="CB61"/>
      <c r="CK61" s="402" t="s">
        <v>4043</v>
      </c>
      <c r="CL61" t="s">
        <v>4016</v>
      </c>
    </row>
    <row r="62" spans="19:90" ht="16.350000000000001" customHeight="1">
      <c r="S62" s="820">
        <f>Ram_1!AR58</f>
        <v>0</v>
      </c>
      <c r="W62" s="825" t="str">
        <f>'Translate&amp;Prices&amp;Logo'!$O$562</f>
        <v>Rodzaj folii</v>
      </c>
      <c r="X62" s="825"/>
      <c r="Y62" s="825"/>
      <c r="Z62" s="825"/>
      <c r="AA62" s="825"/>
      <c r="AB62" s="207"/>
      <c r="AC62" s="824">
        <f>IFERROR(VLOOKUP(Ram_2!$H$24,CA12:CB29,2,0),0)</f>
        <v>0</v>
      </c>
      <c r="AD62" s="824"/>
      <c r="AE62" s="824"/>
      <c r="AF62" s="824"/>
      <c r="AG62" s="824"/>
      <c r="AH62" s="824"/>
      <c r="AI62" s="824"/>
      <c r="AJ62" s="824"/>
      <c r="AK62" s="824"/>
      <c r="AL62" s="824"/>
      <c r="AM62" s="824"/>
      <c r="AN62" s="824"/>
      <c r="AO62" s="824"/>
      <c r="AR62" s="847"/>
      <c r="BM62" s="487" t="s">
        <v>4986</v>
      </c>
      <c r="BN62" s="1" t="s">
        <v>2086</v>
      </c>
      <c r="CA62"/>
      <c r="CB62"/>
      <c r="CK62" s="402" t="s">
        <v>4044</v>
      </c>
      <c r="CL62" t="s">
        <v>4017</v>
      </c>
    </row>
    <row r="63" spans="19:90" ht="16.350000000000001" customHeight="1" thickBot="1">
      <c r="S63" s="821">
        <f>Ram_1!AR59</f>
        <v>0</v>
      </c>
      <c r="W63" s="825" t="str">
        <f>'Translate&amp;Prices&amp;Logo'!$O$173</f>
        <v>Rodzaj szkła</v>
      </c>
      <c r="X63" s="825"/>
      <c r="Y63" s="825"/>
      <c r="Z63" s="825"/>
      <c r="AA63" s="825"/>
      <c r="AB63" s="207"/>
      <c r="AC63" s="824">
        <f>IFERROR(VLOOKUP(Ram_2!$H$25,'Translate&amp;Prices&amp;Logo'!$AH$1:$AI$165,2,0),Ram_2!$H$25)</f>
        <v>0</v>
      </c>
      <c r="AD63" s="824"/>
      <c r="AE63" s="824"/>
      <c r="AF63" s="824"/>
      <c r="AG63" s="824"/>
      <c r="AH63" s="824"/>
      <c r="AI63" s="824"/>
      <c r="AJ63" s="824"/>
      <c r="AK63" s="824"/>
      <c r="AL63" s="824"/>
      <c r="AM63" s="824"/>
      <c r="AN63" s="824"/>
      <c r="AO63" s="824"/>
      <c r="AR63" s="847"/>
      <c r="BM63" s="487" t="s">
        <v>4987</v>
      </c>
      <c r="BN63" s="1" t="s">
        <v>2271</v>
      </c>
      <c r="CK63" s="160" t="s">
        <v>5457</v>
      </c>
      <c r="CL63" t="s">
        <v>5455</v>
      </c>
    </row>
    <row r="64" spans="19:90" ht="16.350000000000001" customHeight="1">
      <c r="W64" s="825" t="str">
        <f>'Translate&amp;Prices&amp;Logo'!$O$549</f>
        <v>Rozstaw uchwytu (mm)</v>
      </c>
      <c r="X64" s="825"/>
      <c r="Y64" s="825"/>
      <c r="Z64" s="825"/>
      <c r="AA64" s="825"/>
      <c r="AB64" s="207"/>
      <c r="AC64" s="824">
        <f>Ram_2!$H$26</f>
        <v>0</v>
      </c>
      <c r="AD64" s="824"/>
      <c r="AE64" s="824"/>
      <c r="AF64" s="824"/>
      <c r="AG64" s="824"/>
      <c r="AH64" s="824"/>
      <c r="AI64" s="824"/>
      <c r="AJ64" s="824"/>
      <c r="AK64" s="824"/>
      <c r="AL64" s="824"/>
      <c r="AM64" s="824"/>
      <c r="AN64" s="824"/>
      <c r="AO64" s="824"/>
      <c r="AR64" s="847"/>
      <c r="BM64" s="487" t="s">
        <v>4988</v>
      </c>
      <c r="BN64" s="1" t="s">
        <v>483</v>
      </c>
      <c r="CK64" s="1" t="s">
        <v>3573</v>
      </c>
      <c r="CL64" t="s">
        <v>4317</v>
      </c>
    </row>
    <row r="65" spans="1:94" ht="16.350000000000001" customHeight="1">
      <c r="W65" s="825" t="str">
        <f>'Translate&amp;Prices&amp;Logo'!$O$550</f>
        <v>Umieszczenie uchwytu</v>
      </c>
      <c r="X65" s="825"/>
      <c r="Y65" s="825"/>
      <c r="Z65" s="825"/>
      <c r="AA65" s="825"/>
      <c r="AB65" s="207"/>
      <c r="AC65" s="824">
        <f>IFERROR(VLOOKUP(Ram_2!$H$27,BM62:BN65,2,0),0)</f>
        <v>0</v>
      </c>
      <c r="AD65" s="824"/>
      <c r="AE65" s="824"/>
      <c r="AF65" s="824"/>
      <c r="AG65" s="824"/>
      <c r="AH65" s="824"/>
      <c r="AI65" s="824"/>
      <c r="AJ65" s="824"/>
      <c r="AK65" s="824"/>
      <c r="AL65" s="824"/>
      <c r="AM65" s="824"/>
      <c r="AN65" s="824"/>
      <c r="AO65" s="824"/>
      <c r="AR65" s="847"/>
      <c r="BM65" s="487" t="s">
        <v>4989</v>
      </c>
      <c r="BN65" s="1" t="s">
        <v>484</v>
      </c>
      <c r="CK65" t="s">
        <v>3576</v>
      </c>
      <c r="CL65" t="s">
        <v>4316</v>
      </c>
    </row>
    <row r="66" spans="1:94" ht="16.350000000000001" customHeight="1">
      <c r="W66" s="825" t="str">
        <f>('Translate&amp;Prices&amp;Logo'!$O$174)&amp;" "&amp;"-"&amp;" "&amp;('Translate&amp;Prices&amp;Logo'!$O$169)&amp;" "&amp;" "&amp;2</f>
        <v>Ilość sztuk - Ramka  2</v>
      </c>
      <c r="X66" s="825"/>
      <c r="Y66" s="825"/>
      <c r="Z66" s="825"/>
      <c r="AA66" s="825"/>
      <c r="AB66" s="207"/>
      <c r="AC66" s="824">
        <f>Ram_2!$H$28</f>
        <v>0</v>
      </c>
      <c r="AD66" s="824"/>
      <c r="AE66" s="824"/>
      <c r="AF66" s="824"/>
      <c r="AG66" s="824"/>
      <c r="AH66" s="824"/>
      <c r="AI66" s="824"/>
      <c r="AJ66" s="824"/>
      <c r="AK66" s="824"/>
      <c r="AL66" s="824"/>
      <c r="AM66" s="824"/>
      <c r="AN66" s="824"/>
      <c r="AO66" s="824"/>
      <c r="AR66" s="847"/>
      <c r="BM66" s="328" t="s">
        <v>213</v>
      </c>
      <c r="BN66" s="286" t="s">
        <v>485</v>
      </c>
      <c r="CK66" t="s">
        <v>5436</v>
      </c>
      <c r="CL66" t="s">
        <v>5455</v>
      </c>
    </row>
    <row r="67" spans="1:94" ht="16.350000000000001" customHeight="1">
      <c r="AE67" s="1"/>
      <c r="AF67" s="1"/>
      <c r="AR67" s="847"/>
      <c r="BM67" s="286" t="s">
        <v>419</v>
      </c>
      <c r="BN67" s="286" t="s">
        <v>485</v>
      </c>
      <c r="CK67" t="s">
        <v>5437</v>
      </c>
      <c r="CL67" t="s">
        <v>5456</v>
      </c>
    </row>
    <row r="68" spans="1:94" ht="14.85" customHeight="1">
      <c r="AR68" s="847"/>
      <c r="BM68" s="286" t="s">
        <v>562</v>
      </c>
      <c r="BN68" s="286" t="s">
        <v>485</v>
      </c>
      <c r="BS68" s="286" t="s">
        <v>3275</v>
      </c>
      <c r="BT68" s="286" t="s">
        <v>3279</v>
      </c>
      <c r="CK68" t="s">
        <v>5438</v>
      </c>
      <c r="CL68" t="s">
        <v>5459</v>
      </c>
    </row>
    <row r="69" spans="1:94" ht="14.85" customHeight="1">
      <c r="W69" s="836" t="s">
        <v>2572</v>
      </c>
      <c r="X69" s="836"/>
      <c r="Y69" s="836"/>
      <c r="Z69" s="836"/>
      <c r="AE69" s="836" t="s">
        <v>2573</v>
      </c>
      <c r="AF69" s="836"/>
      <c r="AG69" s="836"/>
      <c r="AH69" s="836"/>
      <c r="AR69" s="847"/>
      <c r="BM69" s="286" t="s">
        <v>1695</v>
      </c>
      <c r="BN69" s="286" t="s">
        <v>485</v>
      </c>
      <c r="BS69" s="286" t="s">
        <v>3276</v>
      </c>
      <c r="BT69" s="286" t="s">
        <v>3280</v>
      </c>
      <c r="CK69" t="s">
        <v>5439</v>
      </c>
      <c r="CL69" t="s">
        <v>5460</v>
      </c>
    </row>
    <row r="70" spans="1:94" ht="14.85" customHeight="1">
      <c r="AE70" s="827"/>
      <c r="AF70" s="828"/>
      <c r="AG70" s="828"/>
      <c r="AH70" s="828"/>
      <c r="AI70" s="828"/>
      <c r="AJ70" s="828"/>
      <c r="AK70" s="828"/>
      <c r="AL70" s="828"/>
      <c r="AM70" s="828"/>
      <c r="AN70" s="829"/>
      <c r="AR70" s="847"/>
      <c r="BM70" s="1" t="s">
        <v>4990</v>
      </c>
      <c r="BN70" s="286" t="s">
        <v>485</v>
      </c>
      <c r="BS70" s="286" t="s">
        <v>3277</v>
      </c>
      <c r="BT70" s="286" t="s">
        <v>3281</v>
      </c>
      <c r="CK70" t="s">
        <v>5440</v>
      </c>
      <c r="CL70" t="s">
        <v>5461</v>
      </c>
    </row>
    <row r="71" spans="1:94" ht="14.85" customHeight="1">
      <c r="AE71" s="830"/>
      <c r="AF71" s="831"/>
      <c r="AG71" s="831"/>
      <c r="AH71" s="831"/>
      <c r="AI71" s="831"/>
      <c r="AJ71" s="831"/>
      <c r="AK71" s="831"/>
      <c r="AL71" s="831"/>
      <c r="AM71" s="831"/>
      <c r="AN71" s="832"/>
      <c r="AR71" s="847"/>
      <c r="BS71" s="286" t="s">
        <v>3278</v>
      </c>
      <c r="BT71" s="286" t="s">
        <v>3282</v>
      </c>
      <c r="CK71" t="s">
        <v>5441</v>
      </c>
      <c r="CL71" t="s">
        <v>5462</v>
      </c>
    </row>
    <row r="72" spans="1:94" ht="14.85" customHeight="1">
      <c r="AE72" s="830"/>
      <c r="AF72" s="831"/>
      <c r="AG72" s="831"/>
      <c r="AH72" s="831"/>
      <c r="AI72" s="831"/>
      <c r="AJ72" s="831"/>
      <c r="AK72" s="831"/>
      <c r="AL72" s="831"/>
      <c r="AM72" s="831"/>
      <c r="AN72" s="832"/>
      <c r="AR72" s="847"/>
      <c r="BS72" s="328" t="s">
        <v>213</v>
      </c>
      <c r="BT72" s="286" t="s">
        <v>485</v>
      </c>
      <c r="CK72" t="s">
        <v>5442</v>
      </c>
      <c r="CL72" t="s">
        <v>5463</v>
      </c>
    </row>
    <row r="73" spans="1:94" ht="14.85" customHeight="1">
      <c r="D73" s="844">
        <f>IF(OR(Ram_2!$AC$25="x",Ram_2!$AJ$26="x",Ram_2!$AC$9="x",Ram_2!$AJ$7="x",Ram_2!$AB$16="x",Ram_2!$AM$23="x",Ram_2!$AN$19="x",Ram_2!$AD$10="x"),'Translate&amp;Prices&amp;Logo'!$B$588,0)</f>
        <v>0</v>
      </c>
      <c r="E73" s="844"/>
      <c r="F73" s="844"/>
      <c r="G73" s="844"/>
      <c r="H73" s="844"/>
      <c r="I73" s="844"/>
      <c r="J73" s="844"/>
      <c r="K73" s="844"/>
      <c r="L73" s="844"/>
      <c r="M73" s="844"/>
      <c r="N73" s="844"/>
      <c r="O73" s="844"/>
      <c r="P73" s="844"/>
      <c r="AE73" s="830"/>
      <c r="AF73" s="831"/>
      <c r="AG73" s="831"/>
      <c r="AH73" s="831"/>
      <c r="AI73" s="831"/>
      <c r="AJ73" s="831"/>
      <c r="AK73" s="831"/>
      <c r="AL73" s="831"/>
      <c r="AM73" s="831"/>
      <c r="AN73" s="832"/>
      <c r="AR73" s="847"/>
      <c r="BS73" s="286" t="s">
        <v>419</v>
      </c>
      <c r="BT73" s="286" t="s">
        <v>485</v>
      </c>
      <c r="CK73" t="s">
        <v>5274</v>
      </c>
      <c r="CL73" t="s">
        <v>3572</v>
      </c>
      <c r="CP73"/>
    </row>
    <row r="74" spans="1:94" ht="14.85" customHeight="1">
      <c r="AE74" s="830"/>
      <c r="AF74" s="831"/>
      <c r="AG74" s="831"/>
      <c r="AH74" s="831"/>
      <c r="AI74" s="831"/>
      <c r="AJ74" s="831"/>
      <c r="AK74" s="831"/>
      <c r="AL74" s="831"/>
      <c r="AM74" s="831"/>
      <c r="AN74" s="832"/>
      <c r="AR74" s="847"/>
      <c r="BS74" s="286" t="s">
        <v>562</v>
      </c>
      <c r="BT74" s="286" t="s">
        <v>485</v>
      </c>
      <c r="CK74" t="s">
        <v>5443</v>
      </c>
      <c r="CL74" t="s">
        <v>4012</v>
      </c>
    </row>
    <row r="75" spans="1:94" ht="14.85" customHeight="1" thickBot="1">
      <c r="AE75" s="830"/>
      <c r="AF75" s="831"/>
      <c r="AG75" s="831"/>
      <c r="AH75" s="831"/>
      <c r="AI75" s="831"/>
      <c r="AJ75" s="831"/>
      <c r="AK75" s="831"/>
      <c r="AL75" s="831"/>
      <c r="AM75" s="831"/>
      <c r="AN75" s="832"/>
      <c r="AR75" s="847"/>
      <c r="BS75" s="286" t="s">
        <v>1695</v>
      </c>
      <c r="BT75" s="286" t="s">
        <v>485</v>
      </c>
      <c r="CK75" t="s">
        <v>5277</v>
      </c>
      <c r="CL75" t="s">
        <v>3573</v>
      </c>
    </row>
    <row r="76" spans="1:94" ht="14.85" customHeight="1" thickBot="1">
      <c r="G76" s="816" t="str">
        <f>'Translate&amp;Prices&amp;Logo'!$O$175</f>
        <v>Szerokość</v>
      </c>
      <c r="H76" s="817">
        <f>Ram_1!AG66</f>
        <v>0</v>
      </c>
      <c r="I76" s="817">
        <f>Ram_1!AH66</f>
        <v>0</v>
      </c>
      <c r="J76" s="818">
        <f>Ram_2!AI30</f>
        <v>0</v>
      </c>
      <c r="K76" s="818">
        <f>Ram_1!AJ66</f>
        <v>0</v>
      </c>
      <c r="L76" s="819">
        <f>Ram_1!AK66</f>
        <v>0</v>
      </c>
      <c r="AE76" s="830"/>
      <c r="AF76" s="831"/>
      <c r="AG76" s="831"/>
      <c r="AH76" s="831"/>
      <c r="AI76" s="831"/>
      <c r="AJ76" s="831"/>
      <c r="AK76" s="831"/>
      <c r="AL76" s="831"/>
      <c r="AM76" s="831"/>
      <c r="AN76" s="832"/>
      <c r="AR76" s="847"/>
      <c r="CK76" t="s">
        <v>5279</v>
      </c>
      <c r="CL76" t="s">
        <v>3574</v>
      </c>
    </row>
    <row r="77" spans="1:94" ht="21" customHeight="1">
      <c r="AE77" s="833"/>
      <c r="AF77" s="834"/>
      <c r="AG77" s="834"/>
      <c r="AH77" s="834"/>
      <c r="AI77" s="834"/>
      <c r="AJ77" s="834"/>
      <c r="AK77" s="834"/>
      <c r="AL77" s="834"/>
      <c r="AM77" s="834"/>
      <c r="AN77" s="835"/>
      <c r="AR77" s="847"/>
      <c r="CK77" t="s">
        <v>5444</v>
      </c>
      <c r="CL77" t="s">
        <v>4015</v>
      </c>
    </row>
    <row r="78" spans="1:94" ht="14.85" customHeight="1">
      <c r="AR78" s="847"/>
      <c r="CK78" t="s">
        <v>5445</v>
      </c>
      <c r="CL78" t="s">
        <v>4016</v>
      </c>
    </row>
    <row r="79" spans="1:94" ht="14.85" customHeight="1">
      <c r="AR79" s="847"/>
      <c r="CK79" t="s">
        <v>5278</v>
      </c>
      <c r="CL79" t="s">
        <v>3575</v>
      </c>
    </row>
    <row r="80" spans="1:94" ht="14.85" customHeight="1" thickBo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276"/>
      <c r="AF80" s="277"/>
      <c r="AG80" s="123"/>
      <c r="AH80" s="123"/>
      <c r="AI80" s="123"/>
      <c r="AJ80" s="123"/>
      <c r="AK80" s="123"/>
      <c r="AL80" s="123"/>
      <c r="AM80" s="123"/>
      <c r="AN80" s="123"/>
      <c r="AO80" s="123"/>
      <c r="AP80" s="123"/>
      <c r="AQ80" s="123"/>
      <c r="AR80" s="123"/>
      <c r="CK80" t="s">
        <v>5446</v>
      </c>
      <c r="CL80" t="s">
        <v>4013</v>
      </c>
    </row>
    <row r="81" spans="10:90" ht="35.1" customHeight="1" thickBot="1">
      <c r="J81" s="273"/>
      <c r="K81" s="273"/>
      <c r="L81" s="273"/>
      <c r="M81" s="273"/>
      <c r="N81" s="273"/>
      <c r="O81" s="273"/>
      <c r="P81" s="273"/>
      <c r="Q81" s="273"/>
      <c r="R81" s="273"/>
      <c r="S81" s="273"/>
      <c r="T81" s="273"/>
      <c r="U81" s="273"/>
      <c r="V81" s="273"/>
      <c r="W81" s="840" t="str">
        <f>'Translate&amp;Prices&amp;Logo'!$O$256</f>
        <v>Numer zamówienia</v>
      </c>
      <c r="X81" s="840"/>
      <c r="Y81" s="840"/>
      <c r="Z81" s="840"/>
      <c r="AA81" s="840"/>
      <c r="AB81" s="207"/>
      <c r="AC81" s="837"/>
      <c r="AD81" s="838"/>
      <c r="AE81" s="838"/>
      <c r="AF81" s="838"/>
      <c r="AG81" s="838"/>
      <c r="AH81" s="838"/>
      <c r="AI81" s="838"/>
      <c r="AJ81" s="838"/>
      <c r="AK81" s="838"/>
      <c r="AL81" s="838"/>
      <c r="AM81" s="838"/>
      <c r="AN81" s="838"/>
      <c r="AO81" s="839"/>
      <c r="AR81" s="847" t="s">
        <v>2576</v>
      </c>
      <c r="CK81" t="s">
        <v>5280</v>
      </c>
      <c r="CL81" t="s">
        <v>3576</v>
      </c>
    </row>
    <row r="82" spans="10:90" ht="16.350000000000001" customHeight="1">
      <c r="W82" s="825" t="str">
        <f>'Translate&amp;Prices&amp;Logo'!$O$542</f>
        <v>Połączenie 2 profili</v>
      </c>
      <c r="X82" s="825"/>
      <c r="Y82" s="825"/>
      <c r="Z82" s="825"/>
      <c r="AA82" s="825"/>
      <c r="AB82" s="207"/>
      <c r="AC82" s="848" t="str">
        <f>IF(kombinace_3!$H$1=TRUE,"Tak","Nie")</f>
        <v>Nie</v>
      </c>
      <c r="AD82" s="848"/>
      <c r="AE82" s="848"/>
      <c r="AF82" s="848"/>
      <c r="AG82" s="848"/>
      <c r="AH82" s="848"/>
      <c r="AI82" s="848"/>
      <c r="AJ82" s="848"/>
      <c r="AK82" s="848"/>
      <c r="AL82" s="848"/>
      <c r="AM82" s="848"/>
      <c r="AN82" s="848"/>
      <c r="AO82" s="848"/>
      <c r="AR82" s="847"/>
      <c r="CK82" t="s">
        <v>5447</v>
      </c>
      <c r="CL82" t="s">
        <v>4014</v>
      </c>
    </row>
    <row r="83" spans="10:90" ht="16.350000000000001" customHeight="1">
      <c r="W83" s="825" t="str">
        <f>'Translate&amp;Prices&amp;Logo'!$O$172</f>
        <v>Rodzaj profilu</v>
      </c>
      <c r="X83" s="825"/>
      <c r="Y83" s="825"/>
      <c r="Z83" s="825"/>
      <c r="AA83" s="825"/>
      <c r="AB83" s="207"/>
      <c r="AC83" s="824">
        <f>IFERROR(VLOOKUP(Ram_3!$H$8,'Translate&amp;Prices&amp;Logo'!AA1:AB282,2,0),Ram_3!$H$8)</f>
        <v>0</v>
      </c>
      <c r="AD83" s="824"/>
      <c r="AE83" s="824"/>
      <c r="AF83" s="824"/>
      <c r="AG83" s="824"/>
      <c r="AH83" s="824"/>
      <c r="AI83" s="824"/>
      <c r="AJ83" s="824"/>
      <c r="AK83" s="824"/>
      <c r="AL83" s="824"/>
      <c r="AM83" s="824"/>
      <c r="AN83" s="824"/>
      <c r="AO83" s="824"/>
      <c r="AR83" s="847"/>
      <c r="CK83" t="s">
        <v>5282</v>
      </c>
      <c r="CL83" t="s">
        <v>3577</v>
      </c>
    </row>
    <row r="84" spans="10:90" ht="16.350000000000001" customHeight="1">
      <c r="W84" s="825" t="str">
        <f>'Translate&amp;Prices&amp;Logo'!$O$543</f>
        <v>Szprosy</v>
      </c>
      <c r="X84" s="825"/>
      <c r="Y84" s="825"/>
      <c r="Z84" s="825"/>
      <c r="AA84" s="825"/>
      <c r="AB84" s="207"/>
      <c r="AC84" s="824" t="str">
        <f>IFERROR(VLOOKUP(Ram_3!$AU$10,AU84:AV87,2,0),0)</f>
        <v>Nie</v>
      </c>
      <c r="AD84" s="824"/>
      <c r="AE84" s="824"/>
      <c r="AF84" s="824"/>
      <c r="AG84" s="824"/>
      <c r="AH84" s="824"/>
      <c r="AI84" s="824"/>
      <c r="AJ84" s="824"/>
      <c r="AK84" s="824"/>
      <c r="AL84" s="824"/>
      <c r="AM84" s="824"/>
      <c r="AN84" s="824"/>
      <c r="AO84" s="824"/>
      <c r="AR84" s="847"/>
      <c r="AU84">
        <v>0</v>
      </c>
      <c r="AV84" t="str">
        <f>'Translate&amp;Prices&amp;Logo'!$O$557</f>
        <v>Nie</v>
      </c>
      <c r="AZ84">
        <v>2</v>
      </c>
      <c r="BA84" t="str">
        <f>'Translate&amp;Prices&amp;Logo'!$O$551</f>
        <v>Zawiasy</v>
      </c>
      <c r="BX84" s="1">
        <v>1</v>
      </c>
      <c r="BY84" s="1" t="str">
        <f>'Translate&amp;Prices&amp;Logo'!$O$100</f>
        <v>Bez modyfikacji</v>
      </c>
      <c r="CA84"/>
      <c r="CB84"/>
      <c r="CK84" t="s">
        <v>5448</v>
      </c>
      <c r="CL84" t="s">
        <v>4017</v>
      </c>
    </row>
    <row r="85" spans="10:90" ht="16.350000000000001" customHeight="1">
      <c r="W85" s="278"/>
      <c r="X85" s="278"/>
      <c r="Y85" s="278"/>
      <c r="Z85" s="278"/>
      <c r="AA85" s="278"/>
      <c r="AB85" s="207"/>
      <c r="AC85" s="849" t="str">
        <f>'Translate&amp;Prices&amp;Logo'!$O$558</f>
        <v>Poziomo (termin dostawy 4 tygodnie)</v>
      </c>
      <c r="AD85" s="849"/>
      <c r="AE85" s="849"/>
      <c r="AF85" s="849"/>
      <c r="AG85" s="849"/>
      <c r="AH85" s="849"/>
      <c r="AI85" s="849"/>
      <c r="AJ85" s="849" t="str">
        <f>'Translate&amp;Prices&amp;Logo'!$O$559</f>
        <v>Pionowo (termin dostawy 4 tygodnie)</v>
      </c>
      <c r="AK85" s="849"/>
      <c r="AL85" s="849"/>
      <c r="AM85" s="849"/>
      <c r="AN85" s="849"/>
      <c r="AO85" s="849"/>
      <c r="AR85" s="847"/>
      <c r="AU85">
        <v>1</v>
      </c>
      <c r="AV85" t="str">
        <f>'Translate&amp;Prices&amp;Logo'!$O$558</f>
        <v>Poziomo (termin dostawy 4 tygodnie)</v>
      </c>
      <c r="AZ85">
        <v>3</v>
      </c>
      <c r="BA85" t="str">
        <f>'Translate&amp;Prices&amp;Logo'!$O$552</f>
        <v>Podnośniki</v>
      </c>
      <c r="BX85" s="1">
        <v>2</v>
      </c>
      <c r="BY85" s="1" t="str">
        <f>'Translate&amp;Prices&amp;Logo'!$O$101</f>
        <v>Hartowane</v>
      </c>
      <c r="CA85"/>
      <c r="CB85"/>
      <c r="CK85" t="s">
        <v>5275</v>
      </c>
      <c r="CL85" t="s">
        <v>5458</v>
      </c>
    </row>
    <row r="86" spans="10:90" ht="16.350000000000001" customHeight="1">
      <c r="W86" s="825" t="str">
        <f>('Translate&amp;Prices&amp;Logo'!$O$543)&amp;" "&amp;"("&amp;'Translate&amp;Prices&amp;Logo'!$O$174&amp;")"</f>
        <v>Szprosy (Ilość sztuk)</v>
      </c>
      <c r="X86" s="825"/>
      <c r="Y86" s="825"/>
      <c r="Z86" s="825"/>
      <c r="AA86" s="825"/>
      <c r="AB86" s="207"/>
      <c r="AC86" s="824">
        <f>Ram_3!$H$11</f>
        <v>0</v>
      </c>
      <c r="AD86" s="824"/>
      <c r="AE86" s="824"/>
      <c r="AF86" s="824"/>
      <c r="AG86" s="824"/>
      <c r="AH86" s="824"/>
      <c r="AI86" s="824"/>
      <c r="AJ86" s="824">
        <f>Ram_3!$M$11</f>
        <v>0</v>
      </c>
      <c r="AK86" s="824"/>
      <c r="AL86" s="824"/>
      <c r="AM86" s="824"/>
      <c r="AN86" s="824"/>
      <c r="AO86" s="824"/>
      <c r="AR86" s="847"/>
      <c r="AU86">
        <v>2</v>
      </c>
      <c r="AV86" t="str">
        <f>'Translate&amp;Prices&amp;Logo'!$O$559</f>
        <v>Pionowo (termin dostawy 4 tygodnie)</v>
      </c>
      <c r="BX86" s="1">
        <v>3</v>
      </c>
      <c r="BY86" s="1" t="str">
        <f>'Translate&amp;Prices&amp;Logo'!$O$102</f>
        <v>Folia</v>
      </c>
      <c r="CA86"/>
      <c r="CB86"/>
      <c r="CK86" t="s">
        <v>5283</v>
      </c>
      <c r="CL86" t="s">
        <v>5464</v>
      </c>
    </row>
    <row r="87" spans="10:90" ht="16.350000000000001" customHeight="1">
      <c r="W87" s="825" t="str">
        <f>'Translate&amp;Prices&amp;Logo'!$O$258</f>
        <v>Typ okucia</v>
      </c>
      <c r="X87" s="825"/>
      <c r="Y87" s="825"/>
      <c r="Z87" s="825"/>
      <c r="AA87" s="825"/>
      <c r="AB87" s="207"/>
      <c r="AC87" s="824">
        <f>IFERROR(VLOOKUP(Ram_3!$AU$9,AZ84:BA85,2,0),0)</f>
        <v>0</v>
      </c>
      <c r="AD87" s="824"/>
      <c r="AE87" s="824"/>
      <c r="AF87" s="824"/>
      <c r="AG87" s="824"/>
      <c r="AH87" s="824"/>
      <c r="AI87" s="824"/>
      <c r="AJ87" s="824"/>
      <c r="AK87" s="824"/>
      <c r="AL87" s="824"/>
      <c r="AM87" s="824"/>
      <c r="AN87" s="824"/>
      <c r="AO87" s="824"/>
      <c r="AR87" s="847"/>
      <c r="AU87">
        <v>3</v>
      </c>
      <c r="AV87" t="str">
        <f>'Translate&amp;Prices&amp;Logo'!$O$560</f>
        <v>Poziomo i pionowo (termin dostawy 4 tygodnie)</v>
      </c>
      <c r="CA87"/>
      <c r="CB87"/>
      <c r="CK87" t="s">
        <v>5284</v>
      </c>
      <c r="CL87" t="s">
        <v>5465</v>
      </c>
    </row>
    <row r="88" spans="10:90" ht="16.350000000000001" customHeight="1">
      <c r="W88" s="825" t="str">
        <f>'Translate&amp;Prices&amp;Logo'!$O$544</f>
        <v>Marka okucia</v>
      </c>
      <c r="X88" s="825"/>
      <c r="Y88" s="825"/>
      <c r="Z88" s="825"/>
      <c r="AA88" s="825"/>
      <c r="AB88" s="207"/>
      <c r="AC88" s="824">
        <f>Ram_3!$H$13</f>
        <v>0</v>
      </c>
      <c r="AD88" s="824"/>
      <c r="AE88" s="824"/>
      <c r="AF88" s="824"/>
      <c r="AG88" s="824"/>
      <c r="AH88" s="824"/>
      <c r="AI88" s="824"/>
      <c r="AJ88" s="824"/>
      <c r="AK88" s="824"/>
      <c r="AL88" s="824"/>
      <c r="AM88" s="824"/>
      <c r="AN88" s="824"/>
      <c r="AO88" s="824"/>
      <c r="AR88" s="847"/>
      <c r="CA88"/>
      <c r="CB88"/>
      <c r="CK88" t="s">
        <v>5276</v>
      </c>
      <c r="CL88" t="s">
        <v>5458</v>
      </c>
    </row>
    <row r="89" spans="10:90" ht="16.350000000000001" customHeight="1" thickBot="1">
      <c r="W89" s="825" t="str">
        <f>'Translate&amp;Prices&amp;Logo'!$O$546</f>
        <v>Nałożenie</v>
      </c>
      <c r="X89" s="825"/>
      <c r="Y89" s="825"/>
      <c r="Z89" s="825"/>
      <c r="AA89" s="825"/>
      <c r="AB89" s="207"/>
      <c r="AC89" s="824">
        <f>IFERROR(VLOOKUP(Ram_3!$H$14,$BD$12:$BE$29,2,0),0)</f>
        <v>0</v>
      </c>
      <c r="AD89" s="824"/>
      <c r="AE89" s="824"/>
      <c r="AF89" s="824"/>
      <c r="AG89" s="824"/>
      <c r="AH89" s="824"/>
      <c r="AI89" s="824"/>
      <c r="AJ89" s="824"/>
      <c r="AK89" s="824"/>
      <c r="AL89" s="824"/>
      <c r="AM89" s="824"/>
      <c r="AN89" s="824"/>
      <c r="AO89" s="824"/>
      <c r="AR89" s="847"/>
      <c r="CA89"/>
      <c r="CB89"/>
      <c r="CK89" t="s">
        <v>5281</v>
      </c>
      <c r="CL89" t="s">
        <v>5466</v>
      </c>
    </row>
    <row r="90" spans="10:90" ht="16.350000000000001" customHeight="1">
      <c r="S90" s="822">
        <f>Ram_3!AR14</f>
        <v>0</v>
      </c>
      <c r="W90" s="825" t="str">
        <f>'Translate&amp;Prices&amp;Logo'!$O$545</f>
        <v>Wariant okucia</v>
      </c>
      <c r="X90" s="825"/>
      <c r="Y90" s="825"/>
      <c r="Z90" s="825"/>
      <c r="AA90" s="825"/>
      <c r="AB90" s="207"/>
      <c r="AC90" s="841">
        <f>IFERROR(VLOOKUP(Ram_3!$H$15,kombinace_1!$ED$2:$EE$760,2,0),Ram_3!$H$15)</f>
        <v>0</v>
      </c>
      <c r="AD90" s="841"/>
      <c r="AE90" s="841"/>
      <c r="AF90" s="841"/>
      <c r="AG90" s="841"/>
      <c r="AH90" s="841"/>
      <c r="AI90" s="841"/>
      <c r="AJ90" s="841" t="str">
        <f>IF(AC90='Translate&amp;Prices&amp;Logo'!C698,VLOOKUP(Ram_3!H17,'Translate&amp;Prices&amp;Logo'!C699:D746,2,0),"")</f>
        <v/>
      </c>
      <c r="AK90" s="841"/>
      <c r="AL90" s="841"/>
      <c r="AM90" s="841"/>
      <c r="AN90" s="841"/>
      <c r="AO90" s="841"/>
      <c r="AR90" s="847"/>
      <c r="CA90"/>
      <c r="CB90"/>
      <c r="CK90" t="s">
        <v>5285</v>
      </c>
      <c r="CL90" t="s">
        <v>5467</v>
      </c>
    </row>
    <row r="91" spans="10:90" ht="16.350000000000001" customHeight="1">
      <c r="S91" s="823">
        <f>Ram_1!AR87</f>
        <v>0</v>
      </c>
      <c r="W91" s="825" t="str">
        <f>'Translate&amp;Prices&amp;Logo'!$O$218</f>
        <v>Wybierz pozycję ramki</v>
      </c>
      <c r="X91" s="825"/>
      <c r="Y91" s="825"/>
      <c r="Z91" s="825"/>
      <c r="AA91" s="825"/>
      <c r="AB91" s="824">
        <f>IFERROR(VLOOKUP(Ram_3!$F$16,BI12:BJ23,2,0),0)</f>
        <v>0</v>
      </c>
      <c r="AC91" s="824"/>
      <c r="AD91" s="824"/>
      <c r="AE91" s="824"/>
      <c r="AF91" s="824"/>
      <c r="AG91" s="850" t="str">
        <f>'Translate&amp;Prices&amp;Logo'!$O$232</f>
        <v>Rodzaj drugiej ramki</v>
      </c>
      <c r="AH91" s="850"/>
      <c r="AI91" s="850"/>
      <c r="AJ91" s="403"/>
      <c r="AK91" s="824">
        <f>IFERROR(VLOOKUP(Ram_3!$N$16,BM12:BN41,2,0),0)</f>
        <v>0</v>
      </c>
      <c r="AL91" s="824"/>
      <c r="AM91" s="824"/>
      <c r="AN91" s="824"/>
      <c r="AO91" s="824"/>
      <c r="AR91" s="847"/>
      <c r="CA91"/>
      <c r="CB91"/>
      <c r="CL91"/>
    </row>
    <row r="92" spans="10:90" ht="16.350000000000001" customHeight="1">
      <c r="S92" s="823">
        <f>Ram_1!AR88</f>
        <v>0</v>
      </c>
      <c r="W92" s="825" t="str">
        <f>IF(AC87='Translate&amp;Prices&amp;Logo'!O551,'Translate&amp;Prices&amp;Logo'!O238,'Translate&amp;Prices&amp;Logo'!$O$226)</f>
        <v>Umieszczenie</v>
      </c>
      <c r="X92" s="825"/>
      <c r="Y92" s="825"/>
      <c r="Z92" s="825"/>
      <c r="AA92" s="825"/>
      <c r="AB92" s="207"/>
      <c r="AC92" s="824" t="str">
        <f>IFERROR((IF(Ram_3!H12='Translate&amp;Prices&amp;Logo'!B552,VLOOKUP(Ram_3!$N$16,BM42:BN65,2,0),VLOOKUP(Ram_3!$H$17,BM42:BN65,2,0))),"")</f>
        <v/>
      </c>
      <c r="AD92" s="824"/>
      <c r="AE92" s="824"/>
      <c r="AF92" s="824"/>
      <c r="AG92" s="824"/>
      <c r="AH92" s="824"/>
      <c r="AI92" s="824"/>
      <c r="AJ92" s="824"/>
      <c r="AK92" s="824"/>
      <c r="AL92" s="824"/>
      <c r="AM92" s="824"/>
      <c r="AN92" s="824"/>
      <c r="AO92" s="824"/>
      <c r="AR92" s="847"/>
      <c r="CA92"/>
      <c r="CB92"/>
      <c r="CL92"/>
    </row>
    <row r="93" spans="10:90" ht="16.350000000000001" customHeight="1">
      <c r="S93" s="823">
        <f>Ram_1!AR89</f>
        <v>0</v>
      </c>
      <c r="W93" s="825" t="str">
        <f>'Translate&amp;Prices&amp;Logo'!$O$547</f>
        <v>Zawiasy do podnośników</v>
      </c>
      <c r="X93" s="825"/>
      <c r="Y93" s="825"/>
      <c r="Z93" s="825"/>
      <c r="AA93" s="825"/>
      <c r="AB93" s="207"/>
      <c r="AC93" s="824">
        <f>IFERROR((VLOOKUP(Ram_3!$H$18,$CK$2:$CL$90,2,0)),Ram_3!$H$18)</f>
        <v>0</v>
      </c>
      <c r="AD93" s="824"/>
      <c r="AE93" s="824"/>
      <c r="AF93" s="824"/>
      <c r="AG93" s="824"/>
      <c r="AH93" s="824"/>
      <c r="AI93" s="824"/>
      <c r="AJ93" s="824"/>
      <c r="AK93" s="824"/>
      <c r="AL93" s="824"/>
      <c r="AM93" s="824"/>
      <c r="AN93" s="824"/>
      <c r="AO93" s="824"/>
      <c r="AR93" s="847"/>
      <c r="CA93"/>
      <c r="CB93"/>
      <c r="CL93"/>
    </row>
    <row r="94" spans="10:90" ht="16.350000000000001" customHeight="1">
      <c r="S94" s="823">
        <f>Ram_1!AR90</f>
        <v>0</v>
      </c>
      <c r="W94" s="825" t="str">
        <f>'Translate&amp;Prices&amp;Logo'!$O$223</f>
        <v>Ilość zawiasów na 1 ramkę</v>
      </c>
      <c r="X94" s="825"/>
      <c r="Y94" s="825"/>
      <c r="Z94" s="825"/>
      <c r="AA94" s="825"/>
      <c r="AB94" s="207"/>
      <c r="AC94" s="824">
        <f>Ram_3!$H$19</f>
        <v>0</v>
      </c>
      <c r="AD94" s="824"/>
      <c r="AE94" s="824"/>
      <c r="AF94" s="824"/>
      <c r="AG94" s="824"/>
      <c r="AH94" s="824"/>
      <c r="AI94" s="824"/>
      <c r="AJ94" s="824"/>
      <c r="AK94" s="824"/>
      <c r="AL94" s="824"/>
      <c r="AM94" s="824"/>
      <c r="AN94" s="824"/>
      <c r="AO94" s="824"/>
      <c r="AR94" s="847"/>
      <c r="CA94"/>
      <c r="CB94"/>
      <c r="CL94"/>
    </row>
    <row r="95" spans="10:90" ht="16.350000000000001" customHeight="1">
      <c r="S95" s="820" t="str">
        <f>'Translate&amp;Prices&amp;Logo'!$O$176</f>
        <v>Wysokość</v>
      </c>
      <c r="W95" s="825" t="str">
        <f>IFERROR(('Translate&amp;Prices&amp;Logo'!$O$242&amp;" "&amp;VLOOKUP(Ram_3!H17,kombinace_1!$BY$32:$CC$35,5,0)),"")</f>
        <v/>
      </c>
      <c r="X95" s="825"/>
      <c r="Y95" s="825"/>
      <c r="Z95" s="825"/>
      <c r="AA95" s="825"/>
      <c r="AB95" s="207"/>
      <c r="AC95" s="824">
        <f>Ram_3!$F$20</f>
        <v>100</v>
      </c>
      <c r="AD95" s="824"/>
      <c r="AE95" s="824"/>
      <c r="AF95" s="824"/>
      <c r="AG95" s="825" t="str">
        <f>IFERROR(('Translate&amp;Prices&amp;Logo'!$O$242&amp;" "&amp;VLOOKUP(Ram_3!H17,kombinace_1!$BY$32:$CD$35,6,0)),"")</f>
        <v/>
      </c>
      <c r="AH95" s="825"/>
      <c r="AI95" s="825"/>
      <c r="AJ95" s="825"/>
      <c r="AK95" s="825"/>
      <c r="AL95" s="824">
        <f>Ram_3!$N$20</f>
        <v>100</v>
      </c>
      <c r="AM95" s="824"/>
      <c r="AN95" s="824"/>
      <c r="AO95" s="824"/>
      <c r="AR95" s="847"/>
      <c r="CA95"/>
      <c r="CB95"/>
      <c r="CL95"/>
    </row>
    <row r="96" spans="10:90" ht="16.350000000000001" customHeight="1">
      <c r="S96" s="820">
        <f>Ram_1!AR92</f>
        <v>0</v>
      </c>
      <c r="W96" s="403" t="str">
        <f>'Translate&amp;Prices&amp;Logo'!$O$653</f>
        <v>Wypełnienie z siatki</v>
      </c>
      <c r="X96" s="278"/>
      <c r="Y96" s="278"/>
      <c r="Z96" s="278"/>
      <c r="AA96" s="278"/>
      <c r="AB96" s="207"/>
      <c r="AC96" s="826" t="str">
        <f>IF(kombinace_3!FC2=TRUE,"Tak","Nie")</f>
        <v>Nie</v>
      </c>
      <c r="AD96" s="826"/>
      <c r="AE96" s="826"/>
      <c r="AF96" s="826"/>
      <c r="AG96" s="826"/>
      <c r="AH96" s="826"/>
      <c r="AI96" s="826"/>
      <c r="AJ96" s="826"/>
      <c r="AK96" s="826"/>
      <c r="AL96" s="826"/>
      <c r="AM96" s="826"/>
      <c r="AN96" s="826"/>
      <c r="AO96" s="826"/>
      <c r="AR96" s="847"/>
      <c r="CA96"/>
      <c r="CB96"/>
      <c r="CL96"/>
    </row>
    <row r="97" spans="4:90" ht="16.350000000000001" customHeight="1">
      <c r="S97" s="820">
        <f>Ram_1!AR93</f>
        <v>0</v>
      </c>
      <c r="W97" s="825" t="str">
        <f>'Translate&amp;Prices&amp;Logo'!$O$173</f>
        <v>Rodzaj szkła</v>
      </c>
      <c r="X97" s="825"/>
      <c r="Y97" s="825"/>
      <c r="Z97" s="825"/>
      <c r="AA97" s="825"/>
      <c r="AB97" s="207"/>
      <c r="AC97" s="824" t="str">
        <f>IFERROR(VLOOKUP(kombinace_3!$V$1,BX84:BY86,2,0),0)</f>
        <v>Bez modyfikacji</v>
      </c>
      <c r="AD97" s="824"/>
      <c r="AE97" s="824"/>
      <c r="AF97" s="824"/>
      <c r="AG97" s="824"/>
      <c r="AH97" s="824"/>
      <c r="AI97" s="824"/>
      <c r="AJ97" s="824"/>
      <c r="AK97" s="824"/>
      <c r="AL97" s="824"/>
      <c r="AM97" s="824"/>
      <c r="AN97" s="824"/>
      <c r="AO97" s="824"/>
      <c r="AR97" s="847"/>
      <c r="CA97"/>
      <c r="CB97"/>
      <c r="CL97"/>
    </row>
    <row r="98" spans="4:90" ht="16.350000000000001" customHeight="1">
      <c r="S98" s="820">
        <f>Ram_1!AR94</f>
        <v>0</v>
      </c>
      <c r="W98" s="825" t="str">
        <f>'Translate&amp;Prices&amp;Logo'!$O$562</f>
        <v>Rodzaj folii</v>
      </c>
      <c r="X98" s="825"/>
      <c r="Y98" s="825"/>
      <c r="Z98" s="825"/>
      <c r="AA98" s="825"/>
      <c r="AB98" s="207"/>
      <c r="AC98" s="824">
        <f>IFERROR(VLOOKUP(Ram_3!$H$24,CA12:CB29,2,0),0)</f>
        <v>0</v>
      </c>
      <c r="AD98" s="824"/>
      <c r="AE98" s="824"/>
      <c r="AF98" s="824"/>
      <c r="AG98" s="824"/>
      <c r="AH98" s="824"/>
      <c r="AI98" s="824"/>
      <c r="AJ98" s="824"/>
      <c r="AK98" s="824"/>
      <c r="AL98" s="824"/>
      <c r="AM98" s="824"/>
      <c r="AN98" s="824"/>
      <c r="AO98" s="824"/>
      <c r="AR98" s="847"/>
      <c r="CA98"/>
      <c r="CB98"/>
      <c r="CL98"/>
    </row>
    <row r="99" spans="4:90" ht="16.350000000000001" customHeight="1" thickBot="1">
      <c r="S99" s="821">
        <f>Ram_1!AR95</f>
        <v>0</v>
      </c>
      <c r="W99" s="825" t="str">
        <f>'Translate&amp;Prices&amp;Logo'!$O$173</f>
        <v>Rodzaj szkła</v>
      </c>
      <c r="X99" s="825"/>
      <c r="Y99" s="825"/>
      <c r="Z99" s="825"/>
      <c r="AA99" s="825"/>
      <c r="AB99" s="207"/>
      <c r="AC99" s="824">
        <f>IFERROR(VLOOKUP(Ram_3!$H$25,'Translate&amp;Prices&amp;Logo'!$AH$1:$AI$165,2,0),Ram_3!$H$25)</f>
        <v>0</v>
      </c>
      <c r="AD99" s="824"/>
      <c r="AE99" s="824"/>
      <c r="AF99" s="824"/>
      <c r="AG99" s="824"/>
      <c r="AH99" s="824"/>
      <c r="AI99" s="824"/>
      <c r="AJ99" s="824"/>
      <c r="AK99" s="824"/>
      <c r="AL99" s="824"/>
      <c r="AM99" s="824"/>
      <c r="AN99" s="824"/>
      <c r="AO99" s="824"/>
      <c r="AR99" s="847"/>
      <c r="CL99"/>
    </row>
    <row r="100" spans="4:90" ht="16.350000000000001" customHeight="1">
      <c r="W100" s="825" t="str">
        <f>'Translate&amp;Prices&amp;Logo'!$O$549</f>
        <v>Rozstaw uchwytu (mm)</v>
      </c>
      <c r="X100" s="825"/>
      <c r="Y100" s="825"/>
      <c r="Z100" s="825"/>
      <c r="AA100" s="825"/>
      <c r="AB100" s="207"/>
      <c r="AC100" s="824">
        <f>Ram_3!$H$26</f>
        <v>0</v>
      </c>
      <c r="AD100" s="824"/>
      <c r="AE100" s="824"/>
      <c r="AF100" s="824"/>
      <c r="AG100" s="824"/>
      <c r="AH100" s="824"/>
      <c r="AI100" s="824"/>
      <c r="AJ100" s="824"/>
      <c r="AK100" s="824"/>
      <c r="AL100" s="824"/>
      <c r="AM100" s="824"/>
      <c r="AN100" s="824"/>
      <c r="AO100" s="824"/>
      <c r="AR100" s="847"/>
      <c r="CK100"/>
      <c r="CL100"/>
    </row>
    <row r="101" spans="4:90" ht="16.350000000000001" customHeight="1">
      <c r="W101" s="825" t="str">
        <f>'Translate&amp;Prices&amp;Logo'!$O$550</f>
        <v>Umieszczenie uchwytu</v>
      </c>
      <c r="X101" s="825"/>
      <c r="Y101" s="825"/>
      <c r="Z101" s="825"/>
      <c r="AA101" s="825"/>
      <c r="AB101" s="207"/>
      <c r="AC101" s="824">
        <f>IFERROR(VLOOKUP(Ram_3!$H$27,BM62:BN65,2,0),0)</f>
        <v>0</v>
      </c>
      <c r="AD101" s="824"/>
      <c r="AE101" s="824"/>
      <c r="AF101" s="824"/>
      <c r="AG101" s="824"/>
      <c r="AH101" s="824"/>
      <c r="AI101" s="824"/>
      <c r="AJ101" s="824"/>
      <c r="AK101" s="824"/>
      <c r="AL101" s="824"/>
      <c r="AM101" s="824"/>
      <c r="AN101" s="824"/>
      <c r="AO101" s="824"/>
      <c r="AR101" s="847"/>
      <c r="CK101"/>
      <c r="CL101"/>
    </row>
    <row r="102" spans="4:90" ht="16.350000000000001" customHeight="1">
      <c r="W102" s="825" t="str">
        <f>('Translate&amp;Prices&amp;Logo'!$O$174)&amp;" "&amp;"-"&amp;" "&amp;('Translate&amp;Prices&amp;Logo'!$O$169)&amp;" "&amp;" "&amp;3</f>
        <v>Ilość sztuk - Ramka  3</v>
      </c>
      <c r="X102" s="825"/>
      <c r="Y102" s="825"/>
      <c r="Z102" s="825"/>
      <c r="AA102" s="825"/>
      <c r="AB102" s="207"/>
      <c r="AC102" s="824">
        <f>Ram_3!$H$28</f>
        <v>0</v>
      </c>
      <c r="AD102" s="824"/>
      <c r="AE102" s="824"/>
      <c r="AF102" s="824"/>
      <c r="AG102" s="824"/>
      <c r="AH102" s="824"/>
      <c r="AI102" s="824"/>
      <c r="AJ102" s="824"/>
      <c r="AK102" s="824"/>
      <c r="AL102" s="824"/>
      <c r="AM102" s="824"/>
      <c r="AN102" s="824"/>
      <c r="AO102" s="824"/>
      <c r="AR102" s="847"/>
      <c r="CK102"/>
      <c r="CL102"/>
    </row>
    <row r="103" spans="4:90" ht="16.350000000000001" customHeight="1">
      <c r="AE103" s="1"/>
      <c r="AF103" s="1"/>
      <c r="AR103" s="847"/>
      <c r="CK103"/>
      <c r="CL103"/>
    </row>
    <row r="104" spans="4:90" ht="14.85" customHeight="1">
      <c r="AR104" s="847"/>
      <c r="BS104" s="286" t="s">
        <v>3283</v>
      </c>
      <c r="BT104" s="286" t="s">
        <v>3279</v>
      </c>
      <c r="CK104"/>
      <c r="CL104"/>
    </row>
    <row r="105" spans="4:90" ht="14.85" customHeight="1">
      <c r="W105" s="836" t="s">
        <v>2572</v>
      </c>
      <c r="X105" s="836"/>
      <c r="Y105" s="836"/>
      <c r="Z105" s="836"/>
      <c r="AE105" s="836" t="s">
        <v>2573</v>
      </c>
      <c r="AF105" s="836"/>
      <c r="AG105" s="836"/>
      <c r="AH105" s="836"/>
      <c r="AR105" s="847"/>
      <c r="BS105" s="286" t="s">
        <v>3284</v>
      </c>
      <c r="BT105" s="286" t="s">
        <v>3280</v>
      </c>
      <c r="CK105"/>
      <c r="CL105"/>
    </row>
    <row r="106" spans="4:90" ht="14.85" customHeight="1">
      <c r="AE106" s="827"/>
      <c r="AF106" s="828"/>
      <c r="AG106" s="828"/>
      <c r="AH106" s="828"/>
      <c r="AI106" s="828"/>
      <c r="AJ106" s="828"/>
      <c r="AK106" s="828"/>
      <c r="AL106" s="828"/>
      <c r="AM106" s="828"/>
      <c r="AN106" s="829"/>
      <c r="AR106" s="847"/>
      <c r="BS106" s="286" t="s">
        <v>3285</v>
      </c>
      <c r="BT106" s="286" t="s">
        <v>3281</v>
      </c>
      <c r="CK106"/>
      <c r="CL106"/>
    </row>
    <row r="107" spans="4:90" ht="14.85" customHeight="1">
      <c r="AE107" s="830"/>
      <c r="AF107" s="831"/>
      <c r="AG107" s="831"/>
      <c r="AH107" s="831"/>
      <c r="AI107" s="831"/>
      <c r="AJ107" s="831"/>
      <c r="AK107" s="831"/>
      <c r="AL107" s="831"/>
      <c r="AM107" s="831"/>
      <c r="AN107" s="832"/>
      <c r="AR107" s="847"/>
      <c r="BS107" s="286" t="s">
        <v>3286</v>
      </c>
      <c r="BT107" s="286" t="s">
        <v>3282</v>
      </c>
      <c r="CK107"/>
      <c r="CL107"/>
    </row>
    <row r="108" spans="4:90" ht="14.85" customHeight="1">
      <c r="AE108" s="830"/>
      <c r="AF108" s="831"/>
      <c r="AG108" s="831"/>
      <c r="AH108" s="831"/>
      <c r="AI108" s="831"/>
      <c r="AJ108" s="831"/>
      <c r="AK108" s="831"/>
      <c r="AL108" s="831"/>
      <c r="AM108" s="831"/>
      <c r="AN108" s="832"/>
      <c r="AR108" s="847"/>
      <c r="CK108"/>
      <c r="CL108"/>
    </row>
    <row r="109" spans="4:90" ht="14.85" customHeight="1">
      <c r="D109" s="844">
        <f>IF(OR(Ram_3!$AC$25="x",Ram_3!$AJ$26="x",Ram_3!$AC$9="x",Ram_3!$AJ$7="x",Ram_3!$AB$16="x",Ram_3!$AM$23="x",Ram_3!$AN$19="x",Ram_3!$AD$10="x"),'Translate&amp;Prices&amp;Logo'!$B$588,0)</f>
        <v>0</v>
      </c>
      <c r="E109" s="844"/>
      <c r="F109" s="844"/>
      <c r="G109" s="844"/>
      <c r="H109" s="844"/>
      <c r="I109" s="844"/>
      <c r="J109" s="844"/>
      <c r="K109" s="844"/>
      <c r="L109" s="844"/>
      <c r="M109" s="844"/>
      <c r="N109" s="844"/>
      <c r="O109" s="844"/>
      <c r="P109" s="844"/>
      <c r="AE109" s="830"/>
      <c r="AF109" s="831"/>
      <c r="AG109" s="831"/>
      <c r="AH109" s="831"/>
      <c r="AI109" s="831"/>
      <c r="AJ109" s="831"/>
      <c r="AK109" s="831"/>
      <c r="AL109" s="831"/>
      <c r="AM109" s="831"/>
      <c r="AN109" s="832"/>
      <c r="AR109" s="847"/>
      <c r="CK109"/>
      <c r="CL109"/>
    </row>
    <row r="110" spans="4:90" ht="14.85" customHeight="1">
      <c r="AE110" s="830"/>
      <c r="AF110" s="831"/>
      <c r="AG110" s="831"/>
      <c r="AH110" s="831"/>
      <c r="AI110" s="831"/>
      <c r="AJ110" s="831"/>
      <c r="AK110" s="831"/>
      <c r="AL110" s="831"/>
      <c r="AM110" s="831"/>
      <c r="AN110" s="832"/>
      <c r="AR110" s="847"/>
      <c r="CK110"/>
      <c r="CL110"/>
    </row>
    <row r="111" spans="4:90" ht="14.85" customHeight="1" thickBot="1">
      <c r="AE111" s="830"/>
      <c r="AF111" s="831"/>
      <c r="AG111" s="831"/>
      <c r="AH111" s="831"/>
      <c r="AI111" s="831"/>
      <c r="AJ111" s="831"/>
      <c r="AK111" s="831"/>
      <c r="AL111" s="831"/>
      <c r="AM111" s="831"/>
      <c r="AN111" s="832"/>
      <c r="AR111" s="847"/>
      <c r="CK111"/>
      <c r="CL111"/>
    </row>
    <row r="112" spans="4:90" ht="14.85" customHeight="1" thickBot="1">
      <c r="G112" s="816" t="str">
        <f>'Translate&amp;Prices&amp;Logo'!$O$175</f>
        <v>Szerokość</v>
      </c>
      <c r="H112" s="817">
        <f>Ram_1!AG102</f>
        <v>0</v>
      </c>
      <c r="I112" s="817">
        <f>Ram_1!AH102</f>
        <v>0</v>
      </c>
      <c r="J112" s="818">
        <f>Ram_3!AI30</f>
        <v>0</v>
      </c>
      <c r="K112" s="818">
        <f>Ram_1!AJ102</f>
        <v>0</v>
      </c>
      <c r="L112" s="819">
        <f>Ram_1!AK102</f>
        <v>0</v>
      </c>
      <c r="AE112" s="830"/>
      <c r="AF112" s="831"/>
      <c r="AG112" s="831"/>
      <c r="AH112" s="831"/>
      <c r="AI112" s="831"/>
      <c r="AJ112" s="831"/>
      <c r="AK112" s="831"/>
      <c r="AL112" s="831"/>
      <c r="AM112" s="831"/>
      <c r="AN112" s="832"/>
      <c r="AR112" s="847"/>
      <c r="CK112"/>
      <c r="CL112"/>
    </row>
    <row r="113" spans="1:101" ht="21" customHeight="1">
      <c r="AE113" s="833"/>
      <c r="AF113" s="834"/>
      <c r="AG113" s="834"/>
      <c r="AH113" s="834"/>
      <c r="AI113" s="834"/>
      <c r="AJ113" s="834"/>
      <c r="AK113" s="834"/>
      <c r="AL113" s="834"/>
      <c r="AM113" s="834"/>
      <c r="AN113" s="835"/>
      <c r="AR113" s="847"/>
      <c r="CK113"/>
      <c r="CL113"/>
    </row>
    <row r="114" spans="1:101" ht="14.85" customHeight="1">
      <c r="AR114" s="847"/>
      <c r="CK114"/>
      <c r="CL114"/>
      <c r="CM114" s="160"/>
      <c r="CN114" s="160"/>
      <c r="CO114" s="160"/>
      <c r="CP114" s="160"/>
      <c r="CQ114" s="160"/>
      <c r="CR114" s="160"/>
      <c r="CS114" s="160"/>
      <c r="CT114" s="160"/>
      <c r="CU114" s="160"/>
      <c r="CV114" s="160"/>
      <c r="CW114" s="160"/>
    </row>
    <row r="115" spans="1:101" ht="14.85" customHeight="1">
      <c r="AR115" s="847"/>
      <c r="CK115"/>
      <c r="CL115"/>
    </row>
    <row r="116" spans="1:101" ht="14.85" customHeight="1" thickBo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276"/>
      <c r="AF116" s="277"/>
      <c r="AG116" s="123"/>
      <c r="AH116" s="123"/>
      <c r="AI116" s="123"/>
      <c r="AJ116" s="123"/>
      <c r="AK116" s="123"/>
      <c r="AL116" s="123"/>
      <c r="AM116" s="123"/>
      <c r="AN116" s="123"/>
      <c r="AO116" s="123"/>
      <c r="AP116" s="123"/>
      <c r="AQ116" s="123"/>
      <c r="AR116" s="123"/>
      <c r="CK116"/>
      <c r="CL116"/>
    </row>
    <row r="117" spans="1:101" ht="35.1" customHeight="1" thickBot="1">
      <c r="J117" s="273"/>
      <c r="K117" s="273"/>
      <c r="L117" s="273"/>
      <c r="M117" s="273"/>
      <c r="N117" s="273"/>
      <c r="O117" s="273"/>
      <c r="P117" s="273"/>
      <c r="Q117" s="273"/>
      <c r="R117" s="273"/>
      <c r="S117" s="273"/>
      <c r="T117" s="273"/>
      <c r="U117" s="273"/>
      <c r="V117" s="273"/>
      <c r="W117" s="840" t="str">
        <f>'Translate&amp;Prices&amp;Logo'!$O$256</f>
        <v>Numer zamówienia</v>
      </c>
      <c r="X117" s="840"/>
      <c r="Y117" s="840"/>
      <c r="Z117" s="840"/>
      <c r="AA117" s="840"/>
      <c r="AB117" s="207"/>
      <c r="AC117" s="837"/>
      <c r="AD117" s="838"/>
      <c r="AE117" s="838"/>
      <c r="AF117" s="838"/>
      <c r="AG117" s="838"/>
      <c r="AH117" s="838"/>
      <c r="AI117" s="838"/>
      <c r="AJ117" s="838"/>
      <c r="AK117" s="838"/>
      <c r="AL117" s="838"/>
      <c r="AM117" s="838"/>
      <c r="AN117" s="838"/>
      <c r="AO117" s="839"/>
      <c r="AR117" s="847" t="s">
        <v>2577</v>
      </c>
      <c r="CK117"/>
      <c r="CL117"/>
    </row>
    <row r="118" spans="1:101" ht="16.350000000000001" customHeight="1">
      <c r="W118" s="825" t="str">
        <f>'Translate&amp;Prices&amp;Logo'!$O$542</f>
        <v>Połączenie 2 profili</v>
      </c>
      <c r="X118" s="825"/>
      <c r="Y118" s="825"/>
      <c r="Z118" s="825"/>
      <c r="AA118" s="825"/>
      <c r="AB118" s="207"/>
      <c r="AC118" s="848" t="str">
        <f>IF(kombinace_4!$H$1=TRUE,"Tak","Nie")</f>
        <v>Nie</v>
      </c>
      <c r="AD118" s="848"/>
      <c r="AE118" s="848"/>
      <c r="AF118" s="848"/>
      <c r="AG118" s="848"/>
      <c r="AH118" s="848"/>
      <c r="AI118" s="848"/>
      <c r="AJ118" s="848"/>
      <c r="AK118" s="848"/>
      <c r="AL118" s="848"/>
      <c r="AM118" s="848"/>
      <c r="AN118" s="848"/>
      <c r="AO118" s="848"/>
      <c r="AR118" s="847"/>
      <c r="CK118"/>
      <c r="CL118"/>
    </row>
    <row r="119" spans="1:101" ht="16.350000000000001" customHeight="1">
      <c r="W119" s="825" t="str">
        <f>'Translate&amp;Prices&amp;Logo'!$O$172</f>
        <v>Rodzaj profilu</v>
      </c>
      <c r="X119" s="825"/>
      <c r="Y119" s="825"/>
      <c r="Z119" s="825"/>
      <c r="AA119" s="825"/>
      <c r="AB119" s="207"/>
      <c r="AC119" s="824">
        <f>IFERROR(VLOOKUP(Ram_4!$H$8,'Translate&amp;Prices&amp;Logo'!AA1:AB282,2,0),Ram_4!$H$8)</f>
        <v>0</v>
      </c>
      <c r="AD119" s="824"/>
      <c r="AE119" s="824"/>
      <c r="AF119" s="824"/>
      <c r="AG119" s="824"/>
      <c r="AH119" s="824"/>
      <c r="AI119" s="824"/>
      <c r="AJ119" s="824"/>
      <c r="AK119" s="824"/>
      <c r="AL119" s="824"/>
      <c r="AM119" s="824"/>
      <c r="AN119" s="824"/>
      <c r="AO119" s="824"/>
      <c r="AR119" s="847"/>
      <c r="CK119"/>
      <c r="CL119"/>
    </row>
    <row r="120" spans="1:101" ht="16.350000000000001" customHeight="1">
      <c r="W120" s="825" t="str">
        <f>'Translate&amp;Prices&amp;Logo'!$O$543</f>
        <v>Szprosy</v>
      </c>
      <c r="X120" s="825"/>
      <c r="Y120" s="825"/>
      <c r="Z120" s="825"/>
      <c r="AA120" s="825"/>
      <c r="AB120" s="207"/>
      <c r="AC120" s="824" t="str">
        <f>IFERROR(VLOOKUP(Ram_4!$AU$10,AU120:AV123,2,0),0)</f>
        <v>Nie</v>
      </c>
      <c r="AD120" s="824"/>
      <c r="AE120" s="824"/>
      <c r="AF120" s="824"/>
      <c r="AG120" s="824"/>
      <c r="AH120" s="824"/>
      <c r="AI120" s="824"/>
      <c r="AJ120" s="824"/>
      <c r="AK120" s="824"/>
      <c r="AL120" s="824"/>
      <c r="AM120" s="824"/>
      <c r="AN120" s="824"/>
      <c r="AO120" s="824"/>
      <c r="AR120" s="847"/>
      <c r="AU120">
        <v>0</v>
      </c>
      <c r="AV120" t="str">
        <f>'Translate&amp;Prices&amp;Logo'!$O$557</f>
        <v>Nie</v>
      </c>
      <c r="AZ120">
        <v>2</v>
      </c>
      <c r="BA120" t="str">
        <f>'Translate&amp;Prices&amp;Logo'!$O$551</f>
        <v>Zawiasy</v>
      </c>
      <c r="BX120" s="1">
        <v>1</v>
      </c>
      <c r="BY120" s="1" t="str">
        <f>'Translate&amp;Prices&amp;Logo'!$O$100</f>
        <v>Bez modyfikacji</v>
      </c>
      <c r="CA120"/>
      <c r="CB120"/>
    </row>
    <row r="121" spans="1:101" ht="16.350000000000001" customHeight="1">
      <c r="W121" s="278"/>
      <c r="X121" s="278"/>
      <c r="Y121" s="278"/>
      <c r="Z121" s="278"/>
      <c r="AA121" s="278"/>
      <c r="AB121" s="207"/>
      <c r="AC121" s="849" t="str">
        <f>'Translate&amp;Prices&amp;Logo'!$O$558</f>
        <v>Poziomo (termin dostawy 4 tygodnie)</v>
      </c>
      <c r="AD121" s="849"/>
      <c r="AE121" s="849"/>
      <c r="AF121" s="849"/>
      <c r="AG121" s="849"/>
      <c r="AH121" s="849"/>
      <c r="AI121" s="849"/>
      <c r="AJ121" s="849" t="str">
        <f>'Translate&amp;Prices&amp;Logo'!$O$559</f>
        <v>Pionowo (termin dostawy 4 tygodnie)</v>
      </c>
      <c r="AK121" s="849"/>
      <c r="AL121" s="849"/>
      <c r="AM121" s="849"/>
      <c r="AN121" s="849"/>
      <c r="AO121" s="849"/>
      <c r="AR121" s="847"/>
      <c r="AU121">
        <v>1</v>
      </c>
      <c r="AV121" t="str">
        <f>'Translate&amp;Prices&amp;Logo'!$O$558</f>
        <v>Poziomo (termin dostawy 4 tygodnie)</v>
      </c>
      <c r="AZ121">
        <v>3</v>
      </c>
      <c r="BA121" t="str">
        <f>'Translate&amp;Prices&amp;Logo'!$O$552</f>
        <v>Podnośniki</v>
      </c>
      <c r="BX121" s="1">
        <v>2</v>
      </c>
      <c r="BY121" s="1" t="str">
        <f>'Translate&amp;Prices&amp;Logo'!$O$101</f>
        <v>Hartowane</v>
      </c>
      <c r="CA121"/>
      <c r="CB121"/>
    </row>
    <row r="122" spans="1:101" ht="16.350000000000001" customHeight="1">
      <c r="W122" s="825" t="str">
        <f>('Translate&amp;Prices&amp;Logo'!$O$543)&amp;" "&amp;"("&amp;'Translate&amp;Prices&amp;Logo'!$O$174&amp;")"</f>
        <v>Szprosy (Ilość sztuk)</v>
      </c>
      <c r="X122" s="825"/>
      <c r="Y122" s="825"/>
      <c r="Z122" s="825"/>
      <c r="AA122" s="825"/>
      <c r="AB122" s="207"/>
      <c r="AC122" s="824">
        <f>Ram_4!$H$11</f>
        <v>0</v>
      </c>
      <c r="AD122" s="824"/>
      <c r="AE122" s="824"/>
      <c r="AF122" s="824"/>
      <c r="AG122" s="824"/>
      <c r="AH122" s="824"/>
      <c r="AI122" s="824"/>
      <c r="AJ122" s="824">
        <f>Ram_4!$M$11</f>
        <v>0</v>
      </c>
      <c r="AK122" s="824"/>
      <c r="AL122" s="824"/>
      <c r="AM122" s="824"/>
      <c r="AN122" s="824"/>
      <c r="AO122" s="824"/>
      <c r="AR122" s="847"/>
      <c r="AU122">
        <v>2</v>
      </c>
      <c r="AV122" t="str">
        <f>'Translate&amp;Prices&amp;Logo'!$O$559</f>
        <v>Pionowo (termin dostawy 4 tygodnie)</v>
      </c>
      <c r="BX122" s="1">
        <v>3</v>
      </c>
      <c r="BY122" s="1" t="str">
        <f>'Translate&amp;Prices&amp;Logo'!$O$102</f>
        <v>Folia</v>
      </c>
      <c r="CA122"/>
      <c r="CB122"/>
    </row>
    <row r="123" spans="1:101" ht="16.350000000000001" customHeight="1">
      <c r="W123" s="825" t="str">
        <f>'Translate&amp;Prices&amp;Logo'!$O$258</f>
        <v>Typ okucia</v>
      </c>
      <c r="X123" s="825"/>
      <c r="Y123" s="825"/>
      <c r="Z123" s="825"/>
      <c r="AA123" s="825"/>
      <c r="AB123" s="207"/>
      <c r="AC123" s="824">
        <f>IFERROR(VLOOKUP(Ram_4!$AU$9,AZ120:BA121,2,0),0)</f>
        <v>0</v>
      </c>
      <c r="AD123" s="824"/>
      <c r="AE123" s="824"/>
      <c r="AF123" s="824"/>
      <c r="AG123" s="824"/>
      <c r="AH123" s="824"/>
      <c r="AI123" s="824"/>
      <c r="AJ123" s="824"/>
      <c r="AK123" s="824"/>
      <c r="AL123" s="824"/>
      <c r="AM123" s="824"/>
      <c r="AN123" s="824"/>
      <c r="AO123" s="824"/>
      <c r="AR123" s="847"/>
      <c r="AU123">
        <v>3</v>
      </c>
      <c r="AV123" t="str">
        <f>'Translate&amp;Prices&amp;Logo'!$O$560</f>
        <v>Poziomo i pionowo (termin dostawy 4 tygodnie)</v>
      </c>
      <c r="CA123"/>
      <c r="CB123"/>
    </row>
    <row r="124" spans="1:101" ht="16.350000000000001" customHeight="1">
      <c r="W124" s="825" t="str">
        <f>'Translate&amp;Prices&amp;Logo'!$O$544</f>
        <v>Marka okucia</v>
      </c>
      <c r="X124" s="825"/>
      <c r="Y124" s="825"/>
      <c r="Z124" s="825"/>
      <c r="AA124" s="825"/>
      <c r="AB124" s="207"/>
      <c r="AC124" s="824">
        <f>Ram_4!$H$13</f>
        <v>0</v>
      </c>
      <c r="AD124" s="824"/>
      <c r="AE124" s="824"/>
      <c r="AF124" s="824"/>
      <c r="AG124" s="824"/>
      <c r="AH124" s="824"/>
      <c r="AI124" s="824"/>
      <c r="AJ124" s="824"/>
      <c r="AK124" s="824"/>
      <c r="AL124" s="824"/>
      <c r="AM124" s="824"/>
      <c r="AN124" s="824"/>
      <c r="AO124" s="824"/>
      <c r="AR124" s="847"/>
      <c r="CA124"/>
      <c r="CB124"/>
    </row>
    <row r="125" spans="1:101" ht="16.350000000000001" customHeight="1" thickBot="1">
      <c r="W125" s="825" t="str">
        <f>'Translate&amp;Prices&amp;Logo'!$O$546</f>
        <v>Nałożenie</v>
      </c>
      <c r="X125" s="825"/>
      <c r="Y125" s="825"/>
      <c r="Z125" s="825"/>
      <c r="AA125" s="825"/>
      <c r="AB125" s="207"/>
      <c r="AC125" s="824">
        <f>IFERROR(VLOOKUP(Ram_4!$H$14,$BD$12:$BE$29,2,0),0)</f>
        <v>0</v>
      </c>
      <c r="AD125" s="824"/>
      <c r="AE125" s="824"/>
      <c r="AF125" s="824"/>
      <c r="AG125" s="824"/>
      <c r="AH125" s="824"/>
      <c r="AI125" s="824"/>
      <c r="AJ125" s="824"/>
      <c r="AK125" s="824"/>
      <c r="AL125" s="824"/>
      <c r="AM125" s="824"/>
      <c r="AN125" s="824"/>
      <c r="AO125" s="824"/>
      <c r="AR125" s="847"/>
      <c r="CA125"/>
      <c r="CB125"/>
    </row>
    <row r="126" spans="1:101" ht="16.350000000000001" customHeight="1">
      <c r="S126" s="822">
        <f>Ram_4!AR14</f>
        <v>0</v>
      </c>
      <c r="W126" s="825" t="str">
        <f>'Translate&amp;Prices&amp;Logo'!$O$545</f>
        <v>Wariant okucia</v>
      </c>
      <c r="X126" s="825"/>
      <c r="Y126" s="825"/>
      <c r="Z126" s="825"/>
      <c r="AA126" s="825"/>
      <c r="AB126" s="207"/>
      <c r="AC126" s="841">
        <f>IFERROR(VLOOKUP(Ram_4!$H$15,kombinace_1!$ED$2:$EE$760,2,0),Ram_4!$H$15)</f>
        <v>0</v>
      </c>
      <c r="AD126" s="841"/>
      <c r="AE126" s="841"/>
      <c r="AF126" s="841"/>
      <c r="AG126" s="841"/>
      <c r="AH126" s="841"/>
      <c r="AI126" s="841"/>
      <c r="AJ126" s="824" t="str">
        <f>IF(AC126='Translate&amp;Prices&amp;Logo'!C698,VLOOKUP(Ram_4!H17,'Translate&amp;Prices&amp;Logo'!C699:D746,2,0),"")</f>
        <v/>
      </c>
      <c r="AK126" s="824"/>
      <c r="AL126" s="824"/>
      <c r="AM126" s="824"/>
      <c r="AN126" s="824"/>
      <c r="AO126" s="824"/>
      <c r="AR126" s="847"/>
      <c r="CA126"/>
      <c r="CB126"/>
    </row>
    <row r="127" spans="1:101" ht="16.350000000000001" customHeight="1">
      <c r="S127" s="823">
        <f>Ram_1!AR123</f>
        <v>0</v>
      </c>
      <c r="W127" s="825" t="str">
        <f>'Translate&amp;Prices&amp;Logo'!$O$218</f>
        <v>Wybierz pozycję ramki</v>
      </c>
      <c r="X127" s="825"/>
      <c r="Y127" s="825"/>
      <c r="Z127" s="825"/>
      <c r="AA127" s="825"/>
      <c r="AB127" s="824">
        <f>IFERROR(VLOOKUP(Ram_4!$F$16,BI12:BJ23,2,0),0)</f>
        <v>0</v>
      </c>
      <c r="AC127" s="824"/>
      <c r="AD127" s="824"/>
      <c r="AE127" s="824"/>
      <c r="AF127" s="824"/>
      <c r="AG127" s="850" t="str">
        <f>'Translate&amp;Prices&amp;Logo'!$O$232</f>
        <v>Rodzaj drugiej ramki</v>
      </c>
      <c r="AH127" s="850"/>
      <c r="AI127" s="850"/>
      <c r="AJ127" s="824">
        <f>IFERROR(VLOOKUP(Ram_4!$N$16,BM12:BN41,2,0),0)</f>
        <v>0</v>
      </c>
      <c r="AK127" s="824"/>
      <c r="AL127" s="824"/>
      <c r="AM127" s="824"/>
      <c r="AN127" s="824"/>
      <c r="AO127" s="824"/>
      <c r="AR127" s="847"/>
      <c r="CA127"/>
      <c r="CB127"/>
    </row>
    <row r="128" spans="1:101" ht="16.350000000000001" customHeight="1">
      <c r="S128" s="823">
        <f>Ram_1!AR124</f>
        <v>0</v>
      </c>
      <c r="W128" s="825" t="str">
        <f>IF(AC123='Translate&amp;Prices&amp;Logo'!O551,'Translate&amp;Prices&amp;Logo'!O238,'Translate&amp;Prices&amp;Logo'!$O$226)</f>
        <v>Umieszczenie</v>
      </c>
      <c r="X128" s="825"/>
      <c r="Y128" s="825"/>
      <c r="Z128" s="825"/>
      <c r="AA128" s="825"/>
      <c r="AB128" s="207"/>
      <c r="AC128" s="824" t="str">
        <f>IFERROR((IF(Ram_4!H12='Translate&amp;Prices&amp;Logo'!B552,VLOOKUP(Ram_4!$N$16,BM42:BN65,2,0),VLOOKUP(Ram_4!$H$17,BM42:BN65,2,0))),"")</f>
        <v/>
      </c>
      <c r="AD128" s="824"/>
      <c r="AE128" s="824"/>
      <c r="AF128" s="824"/>
      <c r="AG128" s="824"/>
      <c r="AH128" s="824"/>
      <c r="AI128" s="824"/>
      <c r="AJ128" s="824"/>
      <c r="AK128" s="824"/>
      <c r="AL128" s="824"/>
      <c r="AM128" s="824"/>
      <c r="AN128" s="824"/>
      <c r="AO128" s="824"/>
      <c r="AR128" s="847"/>
      <c r="CA128"/>
      <c r="CB128"/>
    </row>
    <row r="129" spans="19:80" ht="16.350000000000001" customHeight="1">
      <c r="S129" s="823">
        <f>Ram_1!AR125</f>
        <v>0</v>
      </c>
      <c r="W129" s="825" t="str">
        <f>'Translate&amp;Prices&amp;Logo'!$O$547</f>
        <v>Zawiasy do podnośników</v>
      </c>
      <c r="X129" s="825"/>
      <c r="Y129" s="825"/>
      <c r="Z129" s="825"/>
      <c r="AA129" s="825"/>
      <c r="AB129" s="207"/>
      <c r="AC129" s="824">
        <f>IFERROR((VLOOKUP(Ram_4!$H$18,$CK$2:$CL$90,2,0)),Ram_4!$H$18)</f>
        <v>0</v>
      </c>
      <c r="AD129" s="824"/>
      <c r="AE129" s="824"/>
      <c r="AF129" s="824"/>
      <c r="AG129" s="824"/>
      <c r="AH129" s="824"/>
      <c r="AI129" s="824"/>
      <c r="AJ129" s="824"/>
      <c r="AK129" s="824"/>
      <c r="AL129" s="824"/>
      <c r="AM129" s="824"/>
      <c r="AN129" s="824"/>
      <c r="AO129" s="824"/>
      <c r="AR129" s="847"/>
      <c r="CA129"/>
      <c r="CB129"/>
    </row>
    <row r="130" spans="19:80" ht="16.350000000000001" customHeight="1">
      <c r="S130" s="823">
        <f>Ram_1!AR126</f>
        <v>0</v>
      </c>
      <c r="W130" s="825" t="str">
        <f>'Translate&amp;Prices&amp;Logo'!$O$223</f>
        <v>Ilość zawiasów na 1 ramkę</v>
      </c>
      <c r="X130" s="825"/>
      <c r="Y130" s="825"/>
      <c r="Z130" s="825"/>
      <c r="AA130" s="825"/>
      <c r="AB130" s="207"/>
      <c r="AC130" s="824">
        <f>Ram_4!$H$19</f>
        <v>0</v>
      </c>
      <c r="AD130" s="824"/>
      <c r="AE130" s="824"/>
      <c r="AF130" s="824"/>
      <c r="AG130" s="824"/>
      <c r="AH130" s="824"/>
      <c r="AI130" s="824"/>
      <c r="AJ130" s="824"/>
      <c r="AK130" s="824"/>
      <c r="AL130" s="824"/>
      <c r="AM130" s="824"/>
      <c r="AN130" s="824"/>
      <c r="AO130" s="824"/>
      <c r="AR130" s="847"/>
      <c r="CA130"/>
      <c r="CB130"/>
    </row>
    <row r="131" spans="19:80" ht="16.350000000000001" customHeight="1">
      <c r="S131" s="820" t="str">
        <f>'Translate&amp;Prices&amp;Logo'!$O$176</f>
        <v>Wysokość</v>
      </c>
      <c r="W131" s="825" t="e">
        <f>'Translate&amp;Prices&amp;Logo'!$O$242&amp;" "&amp;VLOOKUP(Ram_4!H17,kombinace_1!$BY$32:$CC$35,5,0)</f>
        <v>#N/A</v>
      </c>
      <c r="X131" s="825"/>
      <c r="Y131" s="825"/>
      <c r="Z131" s="825"/>
      <c r="AA131" s="825"/>
      <c r="AB131" s="824">
        <f>Ram_4!$F$20</f>
        <v>100</v>
      </c>
      <c r="AC131" s="824"/>
      <c r="AD131" s="824"/>
      <c r="AE131" s="824"/>
      <c r="AF131" s="824"/>
      <c r="AG131" s="825" t="e">
        <f>'Translate&amp;Prices&amp;Logo'!$O$242&amp;" "&amp;VLOOKUP(Ram_4!H17,kombinace_1!$BY$32:$CD$35,6,0)</f>
        <v>#N/A</v>
      </c>
      <c r="AH131" s="825"/>
      <c r="AI131" s="825"/>
      <c r="AJ131" s="825"/>
      <c r="AK131" s="825"/>
      <c r="AL131" s="824">
        <f>Ram_4!$N$20</f>
        <v>100</v>
      </c>
      <c r="AM131" s="824"/>
      <c r="AN131" s="824"/>
      <c r="AO131" s="824"/>
      <c r="AR131" s="847"/>
      <c r="CA131"/>
      <c r="CB131"/>
    </row>
    <row r="132" spans="19:80" ht="16.350000000000001" customHeight="1">
      <c r="S132" s="820">
        <f>Ram_1!AR128</f>
        <v>0</v>
      </c>
      <c r="W132" s="403" t="str">
        <f>'Translate&amp;Prices&amp;Logo'!$O$653</f>
        <v>Wypełnienie z siatki</v>
      </c>
      <c r="X132" s="278"/>
      <c r="Y132" s="278"/>
      <c r="Z132" s="278"/>
      <c r="AA132" s="278"/>
      <c r="AB132" s="207"/>
      <c r="AC132" s="826" t="str">
        <f>IF(kombinace_4!FC2=TRUE,"Tak","Nie")</f>
        <v>Nie</v>
      </c>
      <c r="AD132" s="826"/>
      <c r="AE132" s="826"/>
      <c r="AF132" s="826"/>
      <c r="AG132" s="826"/>
      <c r="AH132" s="826"/>
      <c r="AI132" s="826"/>
      <c r="AJ132" s="826"/>
      <c r="AK132" s="826"/>
      <c r="AL132" s="826"/>
      <c r="AM132" s="826"/>
      <c r="AN132" s="826"/>
      <c r="AO132" s="826"/>
      <c r="AR132" s="847"/>
      <c r="CA132"/>
      <c r="CB132"/>
    </row>
    <row r="133" spans="19:80" ht="16.350000000000001" customHeight="1">
      <c r="S133" s="820">
        <f>Ram_1!AR129</f>
        <v>0</v>
      </c>
      <c r="W133" s="825" t="str">
        <f>'Translate&amp;Prices&amp;Logo'!$O$173</f>
        <v>Rodzaj szkła</v>
      </c>
      <c r="X133" s="825"/>
      <c r="Y133" s="825"/>
      <c r="Z133" s="825"/>
      <c r="AA133" s="825"/>
      <c r="AB133" s="207"/>
      <c r="AC133" s="824" t="str">
        <f>IFERROR(VLOOKUP(kombinace_4!$V$1,BX120:BY122,2,0),0)</f>
        <v>Bez modyfikacji</v>
      </c>
      <c r="AD133" s="824"/>
      <c r="AE133" s="824"/>
      <c r="AF133" s="824"/>
      <c r="AG133" s="824"/>
      <c r="AH133" s="824"/>
      <c r="AI133" s="824"/>
      <c r="AJ133" s="824"/>
      <c r="AK133" s="824"/>
      <c r="AL133" s="824"/>
      <c r="AM133" s="824"/>
      <c r="AN133" s="824"/>
      <c r="AO133" s="824"/>
      <c r="AR133" s="847"/>
      <c r="CA133"/>
      <c r="CB133"/>
    </row>
    <row r="134" spans="19:80" ht="16.350000000000001" customHeight="1">
      <c r="S134" s="820">
        <f>Ram_1!AR130</f>
        <v>0</v>
      </c>
      <c r="W134" s="825" t="str">
        <f>'Translate&amp;Prices&amp;Logo'!$O$562</f>
        <v>Rodzaj folii</v>
      </c>
      <c r="X134" s="825"/>
      <c r="Y134" s="825"/>
      <c r="Z134" s="825"/>
      <c r="AA134" s="825"/>
      <c r="AB134" s="207"/>
      <c r="AC134" s="824">
        <f>IFERROR(VLOOKUP(Ram_4!$H$24,CA12:CB29,2,0),0)</f>
        <v>0</v>
      </c>
      <c r="AD134" s="824"/>
      <c r="AE134" s="824"/>
      <c r="AF134" s="824"/>
      <c r="AG134" s="824"/>
      <c r="AH134" s="824"/>
      <c r="AI134" s="824"/>
      <c r="AJ134" s="824"/>
      <c r="AK134" s="824"/>
      <c r="AL134" s="824"/>
      <c r="AM134" s="824"/>
      <c r="AN134" s="824"/>
      <c r="AO134" s="824"/>
      <c r="AR134" s="847"/>
      <c r="CA134"/>
      <c r="CB134"/>
    </row>
    <row r="135" spans="19:80" ht="16.350000000000001" customHeight="1" thickBot="1">
      <c r="S135" s="821">
        <f>Ram_1!AR131</f>
        <v>0</v>
      </c>
      <c r="W135" s="825" t="str">
        <f>'Translate&amp;Prices&amp;Logo'!$O$173</f>
        <v>Rodzaj szkła</v>
      </c>
      <c r="X135" s="825"/>
      <c r="Y135" s="825"/>
      <c r="Z135" s="825"/>
      <c r="AA135" s="825"/>
      <c r="AB135" s="207"/>
      <c r="AC135" s="824">
        <f>IFERROR(VLOOKUP(Ram_4!$H$25,'Translate&amp;Prices&amp;Logo'!$AH$1:$AI$165,2,0),Ram_4!$H$25)</f>
        <v>0</v>
      </c>
      <c r="AD135" s="824"/>
      <c r="AE135" s="824"/>
      <c r="AF135" s="824"/>
      <c r="AG135" s="824"/>
      <c r="AH135" s="824"/>
      <c r="AI135" s="824"/>
      <c r="AJ135" s="824"/>
      <c r="AK135" s="824"/>
      <c r="AL135" s="824"/>
      <c r="AM135" s="824"/>
      <c r="AN135" s="824"/>
      <c r="AO135" s="824"/>
      <c r="AR135" s="847"/>
    </row>
    <row r="136" spans="19:80" ht="16.350000000000001" customHeight="1">
      <c r="W136" s="825" t="str">
        <f>'Translate&amp;Prices&amp;Logo'!$O$549</f>
        <v>Rozstaw uchwytu (mm)</v>
      </c>
      <c r="X136" s="825"/>
      <c r="Y136" s="825"/>
      <c r="Z136" s="825"/>
      <c r="AA136" s="825"/>
      <c r="AB136" s="207"/>
      <c r="AC136" s="824">
        <f>Ram_4!$H$26</f>
        <v>0</v>
      </c>
      <c r="AD136" s="824"/>
      <c r="AE136" s="824"/>
      <c r="AF136" s="824"/>
      <c r="AG136" s="824"/>
      <c r="AH136" s="824"/>
      <c r="AI136" s="824"/>
      <c r="AJ136" s="824"/>
      <c r="AK136" s="824"/>
      <c r="AL136" s="824"/>
      <c r="AM136" s="824"/>
      <c r="AN136" s="824"/>
      <c r="AO136" s="824"/>
      <c r="AR136" s="847"/>
    </row>
    <row r="137" spans="19:80" ht="16.350000000000001" customHeight="1">
      <c r="W137" s="825" t="str">
        <f>'Translate&amp;Prices&amp;Logo'!$O$550</f>
        <v>Umieszczenie uchwytu</v>
      </c>
      <c r="X137" s="825"/>
      <c r="Y137" s="825"/>
      <c r="Z137" s="825"/>
      <c r="AA137" s="825"/>
      <c r="AB137" s="207"/>
      <c r="AC137" s="824">
        <f>IFERROR(VLOOKUP(Ram_4!$H$27,BM62:BN65,2,0),0)</f>
        <v>0</v>
      </c>
      <c r="AD137" s="824"/>
      <c r="AE137" s="824"/>
      <c r="AF137" s="824"/>
      <c r="AG137" s="824"/>
      <c r="AH137" s="824"/>
      <c r="AI137" s="824"/>
      <c r="AJ137" s="824"/>
      <c r="AK137" s="824"/>
      <c r="AL137" s="824"/>
      <c r="AM137" s="824"/>
      <c r="AN137" s="824"/>
      <c r="AO137" s="824"/>
      <c r="AR137" s="847"/>
    </row>
    <row r="138" spans="19:80" ht="16.350000000000001" customHeight="1">
      <c r="W138" s="825" t="str">
        <f>('Translate&amp;Prices&amp;Logo'!$O$174)&amp;" "&amp;"-"&amp;" "&amp;('Translate&amp;Prices&amp;Logo'!$O$169)&amp;" "&amp;" "&amp;4</f>
        <v>Ilość sztuk - Ramka  4</v>
      </c>
      <c r="X138" s="825"/>
      <c r="Y138" s="825"/>
      <c r="Z138" s="825"/>
      <c r="AA138" s="825"/>
      <c r="AB138" s="207"/>
      <c r="AC138" s="824">
        <f>Ram_4!$H$28</f>
        <v>0</v>
      </c>
      <c r="AD138" s="824"/>
      <c r="AE138" s="824"/>
      <c r="AF138" s="824"/>
      <c r="AG138" s="824"/>
      <c r="AH138" s="824"/>
      <c r="AI138" s="824"/>
      <c r="AJ138" s="824"/>
      <c r="AK138" s="824"/>
      <c r="AL138" s="824"/>
      <c r="AM138" s="824"/>
      <c r="AN138" s="824"/>
      <c r="AO138" s="824"/>
      <c r="AR138" s="847"/>
    </row>
    <row r="139" spans="19:80" ht="16.350000000000001" customHeight="1">
      <c r="AE139" s="1"/>
      <c r="AF139" s="1"/>
      <c r="AR139" s="847"/>
    </row>
    <row r="140" spans="19:80" ht="14.85" customHeight="1">
      <c r="AR140" s="847"/>
    </row>
    <row r="141" spans="19:80" ht="14.85" customHeight="1">
      <c r="W141" s="836" t="s">
        <v>2572</v>
      </c>
      <c r="X141" s="836"/>
      <c r="Y141" s="836"/>
      <c r="Z141" s="836"/>
      <c r="AE141" s="836" t="s">
        <v>2573</v>
      </c>
      <c r="AF141" s="836"/>
      <c r="AG141" s="836"/>
      <c r="AH141" s="836"/>
      <c r="AR141" s="847"/>
    </row>
    <row r="142" spans="19:80" ht="14.85" customHeight="1">
      <c r="AE142" s="827"/>
      <c r="AF142" s="828"/>
      <c r="AG142" s="828"/>
      <c r="AH142" s="828"/>
      <c r="AI142" s="828"/>
      <c r="AJ142" s="828"/>
      <c r="AK142" s="828"/>
      <c r="AL142" s="828"/>
      <c r="AM142" s="828"/>
      <c r="AN142" s="829"/>
      <c r="AR142" s="847"/>
    </row>
    <row r="143" spans="19:80" ht="14.85" customHeight="1">
      <c r="AE143" s="830"/>
      <c r="AF143" s="831"/>
      <c r="AG143" s="831"/>
      <c r="AH143" s="831"/>
      <c r="AI143" s="831"/>
      <c r="AJ143" s="831"/>
      <c r="AK143" s="831"/>
      <c r="AL143" s="831"/>
      <c r="AM143" s="831"/>
      <c r="AN143" s="832"/>
      <c r="AR143" s="847"/>
    </row>
    <row r="144" spans="19:80" ht="14.85" customHeight="1">
      <c r="AE144" s="830"/>
      <c r="AF144" s="831"/>
      <c r="AG144" s="831"/>
      <c r="AH144" s="831"/>
      <c r="AI144" s="831"/>
      <c r="AJ144" s="831"/>
      <c r="AK144" s="831"/>
      <c r="AL144" s="831"/>
      <c r="AM144" s="831"/>
      <c r="AN144" s="832"/>
      <c r="AR144" s="847"/>
    </row>
    <row r="145" spans="1:80" ht="14.85" customHeight="1">
      <c r="D145" s="844">
        <f>IF(OR(Ram_4!$AC$25="x",Ram_4!$AJ$26="x",Ram_4!$AC$9="x",Ram_4!$AJ$7="x",Ram_4!$AB$16="x",Ram_4!$AM$23="x",Ram_4!$AN$19="x",Ram_4!$AD$10="x"),'Translate&amp;Prices&amp;Logo'!$B$588,0)</f>
        <v>0</v>
      </c>
      <c r="E145" s="844"/>
      <c r="F145" s="844"/>
      <c r="G145" s="844"/>
      <c r="H145" s="844"/>
      <c r="I145" s="844"/>
      <c r="J145" s="844"/>
      <c r="K145" s="844"/>
      <c r="L145" s="844"/>
      <c r="M145" s="844"/>
      <c r="N145" s="844"/>
      <c r="O145" s="844"/>
      <c r="P145" s="844"/>
      <c r="AE145" s="830"/>
      <c r="AF145" s="831"/>
      <c r="AG145" s="831"/>
      <c r="AH145" s="831"/>
      <c r="AI145" s="831"/>
      <c r="AJ145" s="831"/>
      <c r="AK145" s="831"/>
      <c r="AL145" s="831"/>
      <c r="AM145" s="831"/>
      <c r="AN145" s="832"/>
      <c r="AR145" s="847"/>
    </row>
    <row r="146" spans="1:80" ht="14.85" customHeight="1">
      <c r="AE146" s="830"/>
      <c r="AF146" s="831"/>
      <c r="AG146" s="831"/>
      <c r="AH146" s="831"/>
      <c r="AI146" s="831"/>
      <c r="AJ146" s="831"/>
      <c r="AK146" s="831"/>
      <c r="AL146" s="831"/>
      <c r="AM146" s="831"/>
      <c r="AN146" s="832"/>
      <c r="AR146" s="847"/>
    </row>
    <row r="147" spans="1:80" ht="14.85" customHeight="1" thickBot="1">
      <c r="AE147" s="830"/>
      <c r="AF147" s="831"/>
      <c r="AG147" s="831"/>
      <c r="AH147" s="831"/>
      <c r="AI147" s="831"/>
      <c r="AJ147" s="831"/>
      <c r="AK147" s="831"/>
      <c r="AL147" s="831"/>
      <c r="AM147" s="831"/>
      <c r="AN147" s="832"/>
      <c r="AR147" s="847"/>
    </row>
    <row r="148" spans="1:80" ht="14.85" customHeight="1" thickBot="1">
      <c r="G148" s="816" t="str">
        <f>'Translate&amp;Prices&amp;Logo'!$O$175</f>
        <v>Szerokość</v>
      </c>
      <c r="H148" s="817">
        <f>Ram_1!AG138</f>
        <v>0</v>
      </c>
      <c r="I148" s="817">
        <f>Ram_1!AH138</f>
        <v>0</v>
      </c>
      <c r="J148" s="818">
        <f>Ram_4!AI30</f>
        <v>0</v>
      </c>
      <c r="K148" s="818">
        <f>Ram_1!AJ138</f>
        <v>0</v>
      </c>
      <c r="L148" s="819">
        <f>Ram_1!AK138</f>
        <v>0</v>
      </c>
      <c r="AE148" s="830"/>
      <c r="AF148" s="831"/>
      <c r="AG148" s="831"/>
      <c r="AH148" s="831"/>
      <c r="AI148" s="831"/>
      <c r="AJ148" s="831"/>
      <c r="AK148" s="831"/>
      <c r="AL148" s="831"/>
      <c r="AM148" s="831"/>
      <c r="AN148" s="832"/>
      <c r="AR148" s="847"/>
    </row>
    <row r="149" spans="1:80" ht="21" customHeight="1">
      <c r="AE149" s="833"/>
      <c r="AF149" s="834"/>
      <c r="AG149" s="834"/>
      <c r="AH149" s="834"/>
      <c r="AI149" s="834"/>
      <c r="AJ149" s="834"/>
      <c r="AK149" s="834"/>
      <c r="AL149" s="834"/>
      <c r="AM149" s="834"/>
      <c r="AN149" s="835"/>
      <c r="AR149" s="847"/>
    </row>
    <row r="150" spans="1:80" ht="14.85" customHeight="1">
      <c r="AR150" s="847"/>
    </row>
    <row r="151" spans="1:80" ht="14.85" customHeight="1">
      <c r="AR151" s="847"/>
    </row>
    <row r="152" spans="1:80" ht="14.85" customHeight="1" thickBo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276"/>
      <c r="AF152" s="277"/>
      <c r="AG152" s="123"/>
      <c r="AH152" s="123"/>
      <c r="AI152" s="123"/>
      <c r="AJ152" s="123"/>
      <c r="AK152" s="123"/>
      <c r="AL152" s="123"/>
      <c r="AM152" s="123"/>
      <c r="AN152" s="123"/>
      <c r="AO152" s="123"/>
      <c r="AP152" s="123"/>
      <c r="AQ152" s="123"/>
      <c r="AR152" s="123"/>
    </row>
    <row r="153" spans="1:80" ht="35.1" customHeight="1" thickBot="1">
      <c r="J153" s="273"/>
      <c r="K153" s="273"/>
      <c r="L153" s="273"/>
      <c r="M153" s="273"/>
      <c r="N153" s="273"/>
      <c r="O153" s="273"/>
      <c r="P153" s="273"/>
      <c r="Q153" s="273"/>
      <c r="R153" s="273"/>
      <c r="S153" s="273"/>
      <c r="T153" s="273"/>
      <c r="U153" s="273"/>
      <c r="V153" s="273"/>
      <c r="W153" s="840" t="str">
        <f>'Translate&amp;Prices&amp;Logo'!$O$256</f>
        <v>Numer zamówienia</v>
      </c>
      <c r="X153" s="840"/>
      <c r="Y153" s="840"/>
      <c r="Z153" s="840"/>
      <c r="AA153" s="840"/>
      <c r="AB153" s="399"/>
      <c r="AC153" s="837"/>
      <c r="AD153" s="838"/>
      <c r="AE153" s="838"/>
      <c r="AF153" s="838"/>
      <c r="AG153" s="838"/>
      <c r="AH153" s="838"/>
      <c r="AI153" s="838"/>
      <c r="AJ153" s="838"/>
      <c r="AK153" s="838"/>
      <c r="AL153" s="838"/>
      <c r="AM153" s="838"/>
      <c r="AN153" s="838"/>
      <c r="AO153" s="839"/>
      <c r="AR153" s="847" t="s">
        <v>2578</v>
      </c>
    </row>
    <row r="154" spans="1:80" ht="16.350000000000001" customHeight="1">
      <c r="W154" s="825" t="str">
        <f>'Translate&amp;Prices&amp;Logo'!$O$542</f>
        <v>Połączenie 2 profili</v>
      </c>
      <c r="X154" s="825"/>
      <c r="Y154" s="825"/>
      <c r="Z154" s="825"/>
      <c r="AA154" s="825"/>
      <c r="AB154" s="399"/>
      <c r="AC154" s="848" t="str">
        <f>IF(kombinace_5!$H$1=TRUE,"Tak","Nie")</f>
        <v>Nie</v>
      </c>
      <c r="AD154" s="848"/>
      <c r="AE154" s="848"/>
      <c r="AF154" s="848"/>
      <c r="AG154" s="848"/>
      <c r="AH154" s="848"/>
      <c r="AI154" s="848"/>
      <c r="AJ154" s="848"/>
      <c r="AK154" s="848"/>
      <c r="AL154" s="848"/>
      <c r="AM154" s="848"/>
      <c r="AN154" s="848"/>
      <c r="AO154" s="848"/>
      <c r="AR154" s="847"/>
    </row>
    <row r="155" spans="1:80" ht="16.350000000000001" customHeight="1">
      <c r="W155" s="825" t="str">
        <f>'Translate&amp;Prices&amp;Logo'!$O$172</f>
        <v>Rodzaj profilu</v>
      </c>
      <c r="X155" s="825"/>
      <c r="Y155" s="825"/>
      <c r="Z155" s="825"/>
      <c r="AA155" s="825"/>
      <c r="AB155" s="399"/>
      <c r="AC155" s="824">
        <f>IFERROR(VLOOKUP(Ram_5!$H$8,'Translate&amp;Prices&amp;Logo'!AA1:AB282,2,0),Ram_5!$H$8)</f>
        <v>0</v>
      </c>
      <c r="AD155" s="824"/>
      <c r="AE155" s="824"/>
      <c r="AF155" s="824"/>
      <c r="AG155" s="824"/>
      <c r="AH155" s="824"/>
      <c r="AI155" s="824"/>
      <c r="AJ155" s="824"/>
      <c r="AK155" s="824"/>
      <c r="AL155" s="824"/>
      <c r="AM155" s="824"/>
      <c r="AN155" s="824"/>
      <c r="AO155" s="824"/>
      <c r="AR155" s="847"/>
    </row>
    <row r="156" spans="1:80" ht="16.350000000000001" customHeight="1">
      <c r="W156" s="825" t="str">
        <f>'Translate&amp;Prices&amp;Logo'!$O$543</f>
        <v>Szprosy</v>
      </c>
      <c r="X156" s="825"/>
      <c r="Y156" s="825"/>
      <c r="Z156" s="825"/>
      <c r="AA156" s="825"/>
      <c r="AB156" s="399"/>
      <c r="AC156" s="824" t="str">
        <f>IFERROR(VLOOKUP(Ram_5!$AU$10,AU156:AV159,2,0),0)</f>
        <v>Nie</v>
      </c>
      <c r="AD156" s="824"/>
      <c r="AE156" s="824"/>
      <c r="AF156" s="824"/>
      <c r="AG156" s="824"/>
      <c r="AH156" s="824"/>
      <c r="AI156" s="824"/>
      <c r="AJ156" s="824"/>
      <c r="AK156" s="824"/>
      <c r="AL156" s="824"/>
      <c r="AM156" s="824"/>
      <c r="AN156" s="824"/>
      <c r="AO156" s="824"/>
      <c r="AR156" s="847"/>
      <c r="AU156">
        <v>0</v>
      </c>
      <c r="AV156" t="str">
        <f>'Translate&amp;Prices&amp;Logo'!$O$557</f>
        <v>Nie</v>
      </c>
      <c r="AZ156">
        <v>2</v>
      </c>
      <c r="BA156" t="str">
        <f>'Translate&amp;Prices&amp;Logo'!$O$551</f>
        <v>Zawiasy</v>
      </c>
      <c r="BX156" s="1">
        <v>1</v>
      </c>
      <c r="BY156" s="1" t="str">
        <f>'Translate&amp;Prices&amp;Logo'!$O$100</f>
        <v>Bez modyfikacji</v>
      </c>
      <c r="CA156"/>
      <c r="CB156"/>
    </row>
    <row r="157" spans="1:80" ht="16.350000000000001" customHeight="1">
      <c r="W157" s="278"/>
      <c r="X157" s="278"/>
      <c r="Y157" s="278"/>
      <c r="Z157" s="278"/>
      <c r="AA157" s="278"/>
      <c r="AB157" s="399"/>
      <c r="AC157" s="849" t="str">
        <f>'Translate&amp;Prices&amp;Logo'!$O$558</f>
        <v>Poziomo (termin dostawy 4 tygodnie)</v>
      </c>
      <c r="AD157" s="849"/>
      <c r="AE157" s="849"/>
      <c r="AF157" s="849"/>
      <c r="AG157" s="849"/>
      <c r="AH157" s="849"/>
      <c r="AI157" s="849"/>
      <c r="AJ157" s="849" t="str">
        <f>'Translate&amp;Prices&amp;Logo'!$O$559</f>
        <v>Pionowo (termin dostawy 4 tygodnie)</v>
      </c>
      <c r="AK157" s="849"/>
      <c r="AL157" s="849"/>
      <c r="AM157" s="849"/>
      <c r="AN157" s="849"/>
      <c r="AO157" s="849"/>
      <c r="AR157" s="847"/>
      <c r="AU157">
        <v>1</v>
      </c>
      <c r="AV157" t="str">
        <f>'Translate&amp;Prices&amp;Logo'!$O$558</f>
        <v>Poziomo (termin dostawy 4 tygodnie)</v>
      </c>
      <c r="AZ157">
        <v>3</v>
      </c>
      <c r="BA157" t="str">
        <f>'Translate&amp;Prices&amp;Logo'!$O$552</f>
        <v>Podnośniki</v>
      </c>
      <c r="BX157" s="1">
        <v>2</v>
      </c>
      <c r="BY157" s="1" t="str">
        <f>'Translate&amp;Prices&amp;Logo'!$O$101</f>
        <v>Hartowane</v>
      </c>
      <c r="CA157"/>
      <c r="CB157"/>
    </row>
    <row r="158" spans="1:80" ht="16.350000000000001" customHeight="1">
      <c r="W158" s="825" t="str">
        <f>('Translate&amp;Prices&amp;Logo'!$O$543)&amp;" "&amp;"("&amp;'Translate&amp;Prices&amp;Logo'!$O$174&amp;")"</f>
        <v>Szprosy (Ilość sztuk)</v>
      </c>
      <c r="X158" s="825"/>
      <c r="Y158" s="825"/>
      <c r="Z158" s="825"/>
      <c r="AA158" s="825"/>
      <c r="AB158" s="207"/>
      <c r="AC158" s="824">
        <f>Ram_5!$H$11</f>
        <v>0</v>
      </c>
      <c r="AD158" s="824"/>
      <c r="AE158" s="824"/>
      <c r="AF158" s="824"/>
      <c r="AG158" s="824"/>
      <c r="AH158" s="824"/>
      <c r="AI158" s="824"/>
      <c r="AJ158" s="824">
        <f>Ram_5!$M$11</f>
        <v>0</v>
      </c>
      <c r="AK158" s="824"/>
      <c r="AL158" s="824"/>
      <c r="AM158" s="824"/>
      <c r="AN158" s="824"/>
      <c r="AO158" s="824"/>
      <c r="AR158" s="847"/>
      <c r="AU158">
        <v>2</v>
      </c>
      <c r="AV158" t="str">
        <f>'Translate&amp;Prices&amp;Logo'!$O$559</f>
        <v>Pionowo (termin dostawy 4 tygodnie)</v>
      </c>
      <c r="BX158" s="1">
        <v>3</v>
      </c>
      <c r="BY158" s="1" t="str">
        <f>'Translate&amp;Prices&amp;Logo'!$O$102</f>
        <v>Folia</v>
      </c>
      <c r="CA158"/>
      <c r="CB158"/>
    </row>
    <row r="159" spans="1:80" ht="16.350000000000001" customHeight="1">
      <c r="W159" s="825" t="str">
        <f>'Translate&amp;Prices&amp;Logo'!$O$258</f>
        <v>Typ okucia</v>
      </c>
      <c r="X159" s="825"/>
      <c r="Y159" s="825"/>
      <c r="Z159" s="825"/>
      <c r="AA159" s="825"/>
      <c r="AB159" s="399"/>
      <c r="AC159" s="824">
        <f>IFERROR(VLOOKUP(Ram_5!$AU$9,AZ156:BA157,2,0),0)</f>
        <v>0</v>
      </c>
      <c r="AD159" s="824"/>
      <c r="AE159" s="824"/>
      <c r="AF159" s="824"/>
      <c r="AG159" s="824"/>
      <c r="AH159" s="824"/>
      <c r="AI159" s="824"/>
      <c r="AJ159" s="824"/>
      <c r="AK159" s="824"/>
      <c r="AL159" s="824"/>
      <c r="AM159" s="824"/>
      <c r="AN159" s="824"/>
      <c r="AO159" s="824"/>
      <c r="AR159" s="847"/>
      <c r="AU159">
        <v>3</v>
      </c>
      <c r="AV159" t="str">
        <f>'Translate&amp;Prices&amp;Logo'!$O$560</f>
        <v>Poziomo i pionowo (termin dostawy 4 tygodnie)</v>
      </c>
      <c r="CA159"/>
      <c r="CB159"/>
    </row>
    <row r="160" spans="1:80" ht="16.350000000000001" customHeight="1">
      <c r="W160" s="825" t="str">
        <f>'Translate&amp;Prices&amp;Logo'!$O$544</f>
        <v>Marka okucia</v>
      </c>
      <c r="X160" s="825"/>
      <c r="Y160" s="825"/>
      <c r="Z160" s="825"/>
      <c r="AA160" s="825"/>
      <c r="AB160" s="399"/>
      <c r="AC160" s="824">
        <f>Ram_5!$H$13</f>
        <v>0</v>
      </c>
      <c r="AD160" s="824"/>
      <c r="AE160" s="824"/>
      <c r="AF160" s="824"/>
      <c r="AG160" s="824"/>
      <c r="AH160" s="824"/>
      <c r="AI160" s="824"/>
      <c r="AJ160" s="824"/>
      <c r="AK160" s="824"/>
      <c r="AL160" s="824"/>
      <c r="AM160" s="824"/>
      <c r="AN160" s="824"/>
      <c r="AO160" s="824"/>
      <c r="AR160" s="847"/>
      <c r="CA160"/>
      <c r="CB160"/>
    </row>
    <row r="161" spans="19:80" ht="16.350000000000001" customHeight="1" thickBot="1">
      <c r="W161" s="825" t="str">
        <f>'Translate&amp;Prices&amp;Logo'!$O$546</f>
        <v>Nałożenie</v>
      </c>
      <c r="X161" s="825"/>
      <c r="Y161" s="825"/>
      <c r="Z161" s="825"/>
      <c r="AA161" s="825"/>
      <c r="AB161" s="399"/>
      <c r="AC161" s="824">
        <f>IFERROR(VLOOKUP(Ram_5!$H$14,$BD$12:$BE$29,2,0),0)</f>
        <v>0</v>
      </c>
      <c r="AD161" s="824"/>
      <c r="AE161" s="824"/>
      <c r="AF161" s="824"/>
      <c r="AG161" s="824"/>
      <c r="AH161" s="824"/>
      <c r="AI161" s="824"/>
      <c r="AJ161" s="824"/>
      <c r="AK161" s="824"/>
      <c r="AL161" s="824"/>
      <c r="AM161" s="824"/>
      <c r="AN161" s="824"/>
      <c r="AO161" s="824"/>
      <c r="AR161" s="847"/>
      <c r="CA161"/>
      <c r="CB161"/>
    </row>
    <row r="162" spans="19:80" ht="16.350000000000001" customHeight="1">
      <c r="S162" s="822">
        <f>Ram_5!AR14</f>
        <v>0</v>
      </c>
      <c r="W162" s="825" t="str">
        <f>'Translate&amp;Prices&amp;Logo'!$O$545</f>
        <v>Wariant okucia</v>
      </c>
      <c r="X162" s="825"/>
      <c r="Y162" s="825"/>
      <c r="Z162" s="825"/>
      <c r="AA162" s="825"/>
      <c r="AB162" s="399"/>
      <c r="AC162" s="841">
        <f>IFERROR(VLOOKUP(Ram_5!$H$15,kombinace_1!$ED$2:$EE$760,2,0),Ram_5!$H$15)</f>
        <v>0</v>
      </c>
      <c r="AD162" s="841"/>
      <c r="AE162" s="841"/>
      <c r="AF162" s="841"/>
      <c r="AG162" s="841"/>
      <c r="AH162" s="841"/>
      <c r="AI162" s="841"/>
      <c r="AJ162" s="841" t="str">
        <f>IF(AC162='Translate&amp;Prices&amp;Logo'!C698,VLOOKUP(Ram_5!H17,'Translate&amp;Prices&amp;Logo'!C699:D746,2,0),"")</f>
        <v/>
      </c>
      <c r="AK162" s="841"/>
      <c r="AL162" s="841"/>
      <c r="AM162" s="841"/>
      <c r="AN162" s="841"/>
      <c r="AO162" s="841"/>
      <c r="AR162" s="847"/>
      <c r="CA162"/>
      <c r="CB162"/>
    </row>
    <row r="163" spans="19:80" ht="16.350000000000001" customHeight="1">
      <c r="S163" s="823">
        <f>Ram_1!AR159</f>
        <v>0</v>
      </c>
      <c r="W163" s="825" t="str">
        <f>'Translate&amp;Prices&amp;Logo'!$O$218</f>
        <v>Wybierz pozycję ramki</v>
      </c>
      <c r="X163" s="825"/>
      <c r="Y163" s="825"/>
      <c r="Z163" s="825"/>
      <c r="AA163" s="825"/>
      <c r="AB163" s="824">
        <f>IFERROR(VLOOKUP(Ram_5!$F$16,BI12:BJ23,2,0),0)</f>
        <v>0</v>
      </c>
      <c r="AC163" s="824"/>
      <c r="AD163" s="824"/>
      <c r="AE163" s="824"/>
      <c r="AF163" s="824"/>
      <c r="AG163" s="850" t="str">
        <f>'Translate&amp;Prices&amp;Logo'!$O$232</f>
        <v>Rodzaj drugiej ramki</v>
      </c>
      <c r="AH163" s="850"/>
      <c r="AI163" s="850"/>
      <c r="AJ163" s="824">
        <f>IFERROR(VLOOKUP(Ram_5!$N$16,BM12:BN41,2,0),0)</f>
        <v>0</v>
      </c>
      <c r="AK163" s="824"/>
      <c r="AL163" s="824"/>
      <c r="AM163" s="824"/>
      <c r="AN163" s="824"/>
      <c r="AO163" s="824"/>
      <c r="AR163" s="847"/>
      <c r="CA163"/>
      <c r="CB163"/>
    </row>
    <row r="164" spans="19:80" ht="16.350000000000001" customHeight="1">
      <c r="S164" s="823">
        <f>Ram_1!AR160</f>
        <v>0</v>
      </c>
      <c r="W164" s="825" t="str">
        <f>IF(AC159='Translate&amp;Prices&amp;Logo'!O551,'Translate&amp;Prices&amp;Logo'!O238,'Translate&amp;Prices&amp;Logo'!$O$226)</f>
        <v>Umieszczenie</v>
      </c>
      <c r="X164" s="825"/>
      <c r="Y164" s="825"/>
      <c r="Z164" s="825"/>
      <c r="AA164" s="825"/>
      <c r="AB164" s="399"/>
      <c r="AC164" s="824" t="str">
        <f>IFERROR((IF(Ram_5!H12='Translate&amp;Prices&amp;Logo'!B552,VLOOKUP(Ram_5!$N$16,BM42:BN65,2,0),VLOOKUP(Ram_5!$H$17,BM42:BN65,2,0))),"")</f>
        <v/>
      </c>
      <c r="AD164" s="824"/>
      <c r="AE164" s="824"/>
      <c r="AF164" s="824"/>
      <c r="AG164" s="824"/>
      <c r="AH164" s="824"/>
      <c r="AI164" s="824"/>
      <c r="AJ164" s="824"/>
      <c r="AK164" s="824"/>
      <c r="AL164" s="824"/>
      <c r="AM164" s="824"/>
      <c r="AN164" s="824"/>
      <c r="AO164" s="824"/>
      <c r="AR164" s="847"/>
      <c r="CA164"/>
      <c r="CB164"/>
    </row>
    <row r="165" spans="19:80" ht="16.350000000000001" customHeight="1">
      <c r="S165" s="823">
        <f>Ram_1!AR161</f>
        <v>0</v>
      </c>
      <c r="W165" s="825" t="str">
        <f>'Translate&amp;Prices&amp;Logo'!$O$547</f>
        <v>Zawiasy do podnośników</v>
      </c>
      <c r="X165" s="825"/>
      <c r="Y165" s="825"/>
      <c r="Z165" s="825"/>
      <c r="AA165" s="825"/>
      <c r="AB165" s="399"/>
      <c r="AC165" s="824">
        <f>IFERROR((VLOOKUP(Ram_5!$H$18,$CK$2:$CL$90,2,0)),Ram_5!$H$18)</f>
        <v>0</v>
      </c>
      <c r="AD165" s="824"/>
      <c r="AE165" s="824"/>
      <c r="AF165" s="824"/>
      <c r="AG165" s="824"/>
      <c r="AH165" s="824"/>
      <c r="AI165" s="824"/>
      <c r="AJ165" s="824"/>
      <c r="AK165" s="824"/>
      <c r="AL165" s="824"/>
      <c r="AM165" s="824"/>
      <c r="AN165" s="824"/>
      <c r="AO165" s="824"/>
      <c r="AR165" s="847"/>
      <c r="CA165"/>
      <c r="CB165"/>
    </row>
    <row r="166" spans="19:80" ht="16.350000000000001" customHeight="1">
      <c r="S166" s="823">
        <f>Ram_1!AR162</f>
        <v>0</v>
      </c>
      <c r="W166" s="825" t="str">
        <f>'Translate&amp;Prices&amp;Logo'!$O$223</f>
        <v>Ilość zawiasów na 1 ramkę</v>
      </c>
      <c r="X166" s="825"/>
      <c r="Y166" s="825"/>
      <c r="Z166" s="825"/>
      <c r="AA166" s="825"/>
      <c r="AB166" s="207"/>
      <c r="AC166" s="824">
        <f>Ram_5!$H$19</f>
        <v>0</v>
      </c>
      <c r="AD166" s="824"/>
      <c r="AE166" s="824"/>
      <c r="AF166" s="824"/>
      <c r="AG166" s="824"/>
      <c r="AH166" s="824"/>
      <c r="AI166" s="824"/>
      <c r="AJ166" s="824"/>
      <c r="AK166" s="824"/>
      <c r="AL166" s="824"/>
      <c r="AM166" s="824"/>
      <c r="AN166" s="824"/>
      <c r="AO166" s="824"/>
      <c r="AR166" s="847"/>
      <c r="CA166"/>
      <c r="CB166"/>
    </row>
    <row r="167" spans="19:80" ht="16.350000000000001" customHeight="1">
      <c r="S167" s="820" t="str">
        <f>'Translate&amp;Prices&amp;Logo'!$O$176</f>
        <v>Wysokość</v>
      </c>
      <c r="W167" s="825" t="e">
        <f>'Translate&amp;Prices&amp;Logo'!$O$242&amp;" "&amp;VLOOKUP(Ram_5!H17,kombinace_1!$BY$32:$CC$35,5,0)</f>
        <v>#N/A</v>
      </c>
      <c r="X167" s="825"/>
      <c r="Y167" s="825"/>
      <c r="Z167" s="825"/>
      <c r="AA167" s="825"/>
      <c r="AB167" s="824">
        <f>Ram_5!$F$20</f>
        <v>100</v>
      </c>
      <c r="AC167" s="824"/>
      <c r="AD167" s="824"/>
      <c r="AE167" s="824"/>
      <c r="AF167" s="824"/>
      <c r="AG167" s="825" t="e">
        <f>'Translate&amp;Prices&amp;Logo'!$O$242&amp;" "&amp;VLOOKUP(Ram_4!H17,kombinace_1!$BY$32:$CD$35,6,0)</f>
        <v>#N/A</v>
      </c>
      <c r="AH167" s="825"/>
      <c r="AI167" s="825"/>
      <c r="AJ167" s="825"/>
      <c r="AK167" s="825"/>
      <c r="AL167" s="824">
        <f>Ram_5!$N$20</f>
        <v>100</v>
      </c>
      <c r="AM167" s="824"/>
      <c r="AN167" s="824"/>
      <c r="AO167" s="824"/>
      <c r="AR167" s="847"/>
      <c r="CA167"/>
      <c r="CB167"/>
    </row>
    <row r="168" spans="19:80" ht="16.350000000000001" customHeight="1">
      <c r="S168" s="820">
        <f>Ram_1!AR164</f>
        <v>0</v>
      </c>
      <c r="W168" s="403" t="str">
        <f>'Translate&amp;Prices&amp;Logo'!$O$653</f>
        <v>Wypełnienie z siatki</v>
      </c>
      <c r="X168" s="278"/>
      <c r="Y168" s="278"/>
      <c r="Z168" s="278"/>
      <c r="AA168" s="278"/>
      <c r="AB168" s="399"/>
      <c r="AC168" s="826" t="str">
        <f>IF(kombinace_5!FC2=TRUE,"Tak","Nie")</f>
        <v>Nie</v>
      </c>
      <c r="AD168" s="826"/>
      <c r="AE168" s="826"/>
      <c r="AF168" s="826"/>
      <c r="AG168" s="826"/>
      <c r="AH168" s="826"/>
      <c r="AI168" s="826"/>
      <c r="AJ168" s="826"/>
      <c r="AK168" s="826"/>
      <c r="AL168" s="826"/>
      <c r="AM168" s="826"/>
      <c r="AN168" s="826"/>
      <c r="AO168" s="826"/>
      <c r="AR168" s="847"/>
      <c r="CA168"/>
      <c r="CB168"/>
    </row>
    <row r="169" spans="19:80" ht="16.350000000000001" customHeight="1">
      <c r="S169" s="820">
        <f>Ram_1!AR165</f>
        <v>0</v>
      </c>
      <c r="W169" s="825" t="str">
        <f>'Translate&amp;Prices&amp;Logo'!$O$173</f>
        <v>Rodzaj szkła</v>
      </c>
      <c r="X169" s="825"/>
      <c r="Y169" s="825"/>
      <c r="Z169" s="825"/>
      <c r="AA169" s="825"/>
      <c r="AB169" s="399"/>
      <c r="AC169" s="824" t="str">
        <f>IFERROR(VLOOKUP(kombinace_5!$V$1,BX156:BY158,2,0),0)</f>
        <v>Bez modyfikacji</v>
      </c>
      <c r="AD169" s="824"/>
      <c r="AE169" s="824"/>
      <c r="AF169" s="824"/>
      <c r="AG169" s="824"/>
      <c r="AH169" s="824"/>
      <c r="AI169" s="824"/>
      <c r="AJ169" s="824"/>
      <c r="AK169" s="824"/>
      <c r="AL169" s="824"/>
      <c r="AM169" s="824"/>
      <c r="AN169" s="824"/>
      <c r="AO169" s="824"/>
      <c r="AR169" s="847"/>
      <c r="CA169"/>
      <c r="CB169"/>
    </row>
    <row r="170" spans="19:80" ht="16.350000000000001" customHeight="1">
      <c r="S170" s="820">
        <f>Ram_1!AR166</f>
        <v>0</v>
      </c>
      <c r="W170" s="825" t="str">
        <f>'Translate&amp;Prices&amp;Logo'!$O$562</f>
        <v>Rodzaj folii</v>
      </c>
      <c r="X170" s="825"/>
      <c r="Y170" s="825"/>
      <c r="Z170" s="825"/>
      <c r="AA170" s="825"/>
      <c r="AB170" s="399"/>
      <c r="AC170" s="824">
        <f>IFERROR(VLOOKUP(Ram_5!$H$24,CA12:CB29,2,0),0)</f>
        <v>0</v>
      </c>
      <c r="AD170" s="824"/>
      <c r="AE170" s="824"/>
      <c r="AF170" s="824"/>
      <c r="AG170" s="824"/>
      <c r="AH170" s="824"/>
      <c r="AI170" s="824"/>
      <c r="AJ170" s="824"/>
      <c r="AK170" s="824"/>
      <c r="AL170" s="824"/>
      <c r="AM170" s="824"/>
      <c r="AN170" s="824"/>
      <c r="AO170" s="824"/>
      <c r="AR170" s="847"/>
      <c r="CA170"/>
      <c r="CB170"/>
    </row>
    <row r="171" spans="19:80" ht="16.350000000000001" customHeight="1" thickBot="1">
      <c r="S171" s="821">
        <f>Ram_1!AR167</f>
        <v>0</v>
      </c>
      <c r="W171" s="825" t="str">
        <f>'Translate&amp;Prices&amp;Logo'!$O$173</f>
        <v>Rodzaj szkła</v>
      </c>
      <c r="X171" s="825"/>
      <c r="Y171" s="825"/>
      <c r="Z171" s="825"/>
      <c r="AA171" s="825"/>
      <c r="AB171" s="399"/>
      <c r="AC171" s="824">
        <f>IFERROR(VLOOKUP(Ram_5!$H$25,'Translate&amp;Prices&amp;Logo'!$AH$1:$AI$165,2,0),Ram_5!$H$25)</f>
        <v>0</v>
      </c>
      <c r="AD171" s="824"/>
      <c r="AE171" s="824"/>
      <c r="AF171" s="824"/>
      <c r="AG171" s="824"/>
      <c r="AH171" s="824"/>
      <c r="AI171" s="824"/>
      <c r="AJ171" s="824"/>
      <c r="AK171" s="824"/>
      <c r="AL171" s="824"/>
      <c r="AM171" s="824"/>
      <c r="AN171" s="824"/>
      <c r="AO171" s="824"/>
      <c r="AR171" s="847"/>
    </row>
    <row r="172" spans="19:80" ht="16.350000000000001" customHeight="1">
      <c r="W172" s="825" t="str">
        <f>'Translate&amp;Prices&amp;Logo'!$O$549</f>
        <v>Rozstaw uchwytu (mm)</v>
      </c>
      <c r="X172" s="825"/>
      <c r="Y172" s="825"/>
      <c r="Z172" s="825"/>
      <c r="AA172" s="825"/>
      <c r="AB172" s="399"/>
      <c r="AC172" s="824">
        <f>Ram_5!$H$26</f>
        <v>0</v>
      </c>
      <c r="AD172" s="824"/>
      <c r="AE172" s="824"/>
      <c r="AF172" s="824"/>
      <c r="AG172" s="824"/>
      <c r="AH172" s="824"/>
      <c r="AI172" s="824"/>
      <c r="AJ172" s="824"/>
      <c r="AK172" s="824"/>
      <c r="AL172" s="824"/>
      <c r="AM172" s="824"/>
      <c r="AN172" s="824"/>
      <c r="AO172" s="824"/>
      <c r="AR172" s="847"/>
    </row>
    <row r="173" spans="19:80" ht="16.350000000000001" customHeight="1">
      <c r="W173" s="825" t="str">
        <f>'Translate&amp;Prices&amp;Logo'!$O$550</f>
        <v>Umieszczenie uchwytu</v>
      </c>
      <c r="X173" s="825"/>
      <c r="Y173" s="825"/>
      <c r="Z173" s="825"/>
      <c r="AA173" s="825"/>
      <c r="AB173" s="399"/>
      <c r="AC173" s="824">
        <f>IFERROR(VLOOKUP(Ram_5!$H$27,BM62:BN65,2,0),0)</f>
        <v>0</v>
      </c>
      <c r="AD173" s="824"/>
      <c r="AE173" s="824"/>
      <c r="AF173" s="824"/>
      <c r="AG173" s="824"/>
      <c r="AH173" s="824"/>
      <c r="AI173" s="824"/>
      <c r="AJ173" s="824"/>
      <c r="AK173" s="824"/>
      <c r="AL173" s="824"/>
      <c r="AM173" s="824"/>
      <c r="AN173" s="824"/>
      <c r="AO173" s="824"/>
      <c r="AR173" s="847"/>
    </row>
    <row r="174" spans="19:80" ht="16.350000000000001" customHeight="1">
      <c r="W174" s="825" t="str">
        <f>('Translate&amp;Prices&amp;Logo'!$O$174)&amp;" "&amp;"-"&amp;" "&amp;('Translate&amp;Prices&amp;Logo'!$O$169)&amp;" "&amp;" "&amp;5</f>
        <v>Ilość sztuk - Ramka  5</v>
      </c>
      <c r="X174" s="825"/>
      <c r="Y174" s="825"/>
      <c r="Z174" s="825"/>
      <c r="AA174" s="825"/>
      <c r="AB174" s="399"/>
      <c r="AC174" s="824">
        <f>Ram_5!$H$28</f>
        <v>0</v>
      </c>
      <c r="AD174" s="824"/>
      <c r="AE174" s="824"/>
      <c r="AF174" s="824"/>
      <c r="AG174" s="824"/>
      <c r="AH174" s="824"/>
      <c r="AI174" s="824"/>
      <c r="AJ174" s="824"/>
      <c r="AK174" s="824"/>
      <c r="AL174" s="824"/>
      <c r="AM174" s="824"/>
      <c r="AN174" s="824"/>
      <c r="AO174" s="824"/>
      <c r="AR174" s="847"/>
    </row>
    <row r="175" spans="19:80" ht="16.350000000000001" customHeight="1">
      <c r="AE175" s="1"/>
      <c r="AF175" s="1"/>
      <c r="AR175" s="847"/>
    </row>
    <row r="176" spans="19:80" ht="14.85" customHeight="1">
      <c r="AR176" s="847"/>
    </row>
    <row r="177" spans="1:80" ht="14.85" customHeight="1">
      <c r="W177" s="836" t="s">
        <v>2572</v>
      </c>
      <c r="X177" s="836"/>
      <c r="Y177" s="836"/>
      <c r="Z177" s="836"/>
      <c r="AE177" s="836" t="s">
        <v>2573</v>
      </c>
      <c r="AF177" s="836"/>
      <c r="AG177" s="836"/>
      <c r="AH177" s="836"/>
      <c r="AR177" s="847"/>
    </row>
    <row r="178" spans="1:80" ht="14.85" customHeight="1">
      <c r="AE178" s="827"/>
      <c r="AF178" s="828"/>
      <c r="AG178" s="828"/>
      <c r="AH178" s="828"/>
      <c r="AI178" s="828"/>
      <c r="AJ178" s="828"/>
      <c r="AK178" s="828"/>
      <c r="AL178" s="828"/>
      <c r="AM178" s="828"/>
      <c r="AN178" s="829"/>
      <c r="AR178" s="847"/>
    </row>
    <row r="179" spans="1:80" ht="14.85" customHeight="1">
      <c r="AE179" s="830"/>
      <c r="AF179" s="831"/>
      <c r="AG179" s="831"/>
      <c r="AH179" s="831"/>
      <c r="AI179" s="831"/>
      <c r="AJ179" s="831"/>
      <c r="AK179" s="831"/>
      <c r="AL179" s="831"/>
      <c r="AM179" s="831"/>
      <c r="AN179" s="832"/>
      <c r="AR179" s="847"/>
    </row>
    <row r="180" spans="1:80" ht="14.85" customHeight="1">
      <c r="AE180" s="830"/>
      <c r="AF180" s="831"/>
      <c r="AG180" s="831"/>
      <c r="AH180" s="831"/>
      <c r="AI180" s="831"/>
      <c r="AJ180" s="831"/>
      <c r="AK180" s="831"/>
      <c r="AL180" s="831"/>
      <c r="AM180" s="831"/>
      <c r="AN180" s="832"/>
      <c r="AR180" s="847"/>
    </row>
    <row r="181" spans="1:80" ht="14.85" customHeight="1">
      <c r="D181" s="844">
        <f>IF(OR(Ram_5!$AC$25="x",Ram_5!$AJ$26="x",Ram_5!$AC$9="x",Ram_5!$AJ$7="x",Ram_5!$AB$16="x",Ram_5!$AM$23="x",Ram_5!$AN$19="x",Ram_5!$AD$10="x"),'Translate&amp;Prices&amp;Logo'!$B$588,0)</f>
        <v>0</v>
      </c>
      <c r="E181" s="844"/>
      <c r="F181" s="844"/>
      <c r="G181" s="844"/>
      <c r="H181" s="844"/>
      <c r="I181" s="844"/>
      <c r="J181" s="844"/>
      <c r="K181" s="844"/>
      <c r="L181" s="844"/>
      <c r="M181" s="844"/>
      <c r="N181" s="844"/>
      <c r="O181" s="844"/>
      <c r="P181" s="844"/>
      <c r="AE181" s="830"/>
      <c r="AF181" s="831"/>
      <c r="AG181" s="831"/>
      <c r="AH181" s="831"/>
      <c r="AI181" s="831"/>
      <c r="AJ181" s="831"/>
      <c r="AK181" s="831"/>
      <c r="AL181" s="831"/>
      <c r="AM181" s="831"/>
      <c r="AN181" s="832"/>
      <c r="AR181" s="847"/>
    </row>
    <row r="182" spans="1:80" ht="14.85" customHeight="1">
      <c r="AE182" s="830"/>
      <c r="AF182" s="831"/>
      <c r="AG182" s="831"/>
      <c r="AH182" s="831"/>
      <c r="AI182" s="831"/>
      <c r="AJ182" s="831"/>
      <c r="AK182" s="831"/>
      <c r="AL182" s="831"/>
      <c r="AM182" s="831"/>
      <c r="AN182" s="832"/>
      <c r="AR182" s="847"/>
    </row>
    <row r="183" spans="1:80" ht="14.85" customHeight="1" thickBot="1">
      <c r="AE183" s="830"/>
      <c r="AF183" s="831"/>
      <c r="AG183" s="831"/>
      <c r="AH183" s="831"/>
      <c r="AI183" s="831"/>
      <c r="AJ183" s="831"/>
      <c r="AK183" s="831"/>
      <c r="AL183" s="831"/>
      <c r="AM183" s="831"/>
      <c r="AN183" s="832"/>
      <c r="AR183" s="847"/>
    </row>
    <row r="184" spans="1:80" ht="14.85" customHeight="1" thickBot="1">
      <c r="G184" s="816" t="str">
        <f>'Translate&amp;Prices&amp;Logo'!$O$175</f>
        <v>Szerokość</v>
      </c>
      <c r="H184" s="817">
        <f>Ram_1!AG174</f>
        <v>0</v>
      </c>
      <c r="I184" s="817">
        <f>Ram_1!AH174</f>
        <v>0</v>
      </c>
      <c r="J184" s="818">
        <f>Ram_5!AI30</f>
        <v>0</v>
      </c>
      <c r="K184" s="818">
        <f>Ram_1!AJ174</f>
        <v>0</v>
      </c>
      <c r="L184" s="819">
        <f>Ram_1!AK174</f>
        <v>0</v>
      </c>
      <c r="AE184" s="830"/>
      <c r="AF184" s="831"/>
      <c r="AG184" s="831"/>
      <c r="AH184" s="831"/>
      <c r="AI184" s="831"/>
      <c r="AJ184" s="831"/>
      <c r="AK184" s="831"/>
      <c r="AL184" s="831"/>
      <c r="AM184" s="831"/>
      <c r="AN184" s="832"/>
      <c r="AR184" s="847"/>
    </row>
    <row r="185" spans="1:80" ht="21" customHeight="1">
      <c r="AE185" s="833"/>
      <c r="AF185" s="834"/>
      <c r="AG185" s="834"/>
      <c r="AH185" s="834"/>
      <c r="AI185" s="834"/>
      <c r="AJ185" s="834"/>
      <c r="AK185" s="834"/>
      <c r="AL185" s="834"/>
      <c r="AM185" s="834"/>
      <c r="AN185" s="835"/>
      <c r="AR185" s="847"/>
    </row>
    <row r="186" spans="1:80" ht="14.85" customHeight="1">
      <c r="AR186" s="847"/>
    </row>
    <row r="187" spans="1:80" ht="14.85" customHeight="1">
      <c r="AR187" s="847"/>
    </row>
    <row r="188" spans="1:80" ht="14.85" customHeight="1" thickBo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276"/>
      <c r="AF188" s="277"/>
      <c r="AG188" s="123"/>
      <c r="AH188" s="123"/>
      <c r="AI188" s="123"/>
      <c r="AJ188" s="123"/>
      <c r="AK188" s="123"/>
      <c r="AL188" s="123"/>
      <c r="AM188" s="123"/>
      <c r="AN188" s="123"/>
      <c r="AO188" s="123"/>
      <c r="AP188" s="123"/>
      <c r="AQ188" s="123"/>
      <c r="AR188" s="123"/>
    </row>
    <row r="189" spans="1:80" ht="35.1" customHeight="1" thickBot="1">
      <c r="J189" s="273"/>
      <c r="K189" s="273"/>
      <c r="L189" s="273"/>
      <c r="M189" s="273"/>
      <c r="N189" s="273"/>
      <c r="O189" s="273"/>
      <c r="P189" s="273"/>
      <c r="Q189" s="273"/>
      <c r="R189" s="273"/>
      <c r="S189" s="273"/>
      <c r="T189" s="273"/>
      <c r="U189" s="273"/>
      <c r="V189" s="273"/>
      <c r="W189" s="840" t="str">
        <f>'Translate&amp;Prices&amp;Logo'!$O$256</f>
        <v>Numer zamówienia</v>
      </c>
      <c r="X189" s="840"/>
      <c r="Y189" s="840"/>
      <c r="Z189" s="840"/>
      <c r="AA189" s="840"/>
      <c r="AB189" s="399"/>
      <c r="AC189" s="837"/>
      <c r="AD189" s="838"/>
      <c r="AE189" s="838"/>
      <c r="AF189" s="838"/>
      <c r="AG189" s="838"/>
      <c r="AH189" s="838"/>
      <c r="AI189" s="838"/>
      <c r="AJ189" s="838"/>
      <c r="AK189" s="838"/>
      <c r="AL189" s="838"/>
      <c r="AM189" s="838"/>
      <c r="AN189" s="838"/>
      <c r="AO189" s="839"/>
      <c r="AR189" s="847" t="s">
        <v>2579</v>
      </c>
    </row>
    <row r="190" spans="1:80" ht="16.350000000000001" customHeight="1">
      <c r="W190" s="825" t="str">
        <f>'Translate&amp;Prices&amp;Logo'!$O$542</f>
        <v>Połączenie 2 profili</v>
      </c>
      <c r="X190" s="825"/>
      <c r="Y190" s="825"/>
      <c r="Z190" s="825"/>
      <c r="AA190" s="825"/>
      <c r="AB190" s="399"/>
      <c r="AC190" s="848" t="str">
        <f>IF(kombinace_6!$H$1=TRUE,"Tak","Nie")</f>
        <v>Nie</v>
      </c>
      <c r="AD190" s="848"/>
      <c r="AE190" s="848"/>
      <c r="AF190" s="848"/>
      <c r="AG190" s="848"/>
      <c r="AH190" s="848"/>
      <c r="AI190" s="848"/>
      <c r="AJ190" s="848"/>
      <c r="AK190" s="848"/>
      <c r="AL190" s="848"/>
      <c r="AM190" s="848"/>
      <c r="AN190" s="848"/>
      <c r="AO190" s="848"/>
      <c r="AR190" s="847"/>
    </row>
    <row r="191" spans="1:80" ht="16.350000000000001" customHeight="1">
      <c r="W191" s="825" t="str">
        <f>'Translate&amp;Prices&amp;Logo'!$O$172</f>
        <v>Rodzaj profilu</v>
      </c>
      <c r="X191" s="825"/>
      <c r="Y191" s="825"/>
      <c r="Z191" s="825"/>
      <c r="AA191" s="825"/>
      <c r="AB191" s="399"/>
      <c r="AC191" s="824">
        <f>IFERROR(VLOOKUP(Ram_6!$H$8,'Translate&amp;Prices&amp;Logo'!AA1:AB282,2,0),Ram_6!$H$8)</f>
        <v>0</v>
      </c>
      <c r="AD191" s="824"/>
      <c r="AE191" s="824"/>
      <c r="AF191" s="824"/>
      <c r="AG191" s="824"/>
      <c r="AH191" s="824"/>
      <c r="AI191" s="824"/>
      <c r="AJ191" s="824"/>
      <c r="AK191" s="824"/>
      <c r="AL191" s="824"/>
      <c r="AM191" s="824"/>
      <c r="AN191" s="824"/>
      <c r="AO191" s="824"/>
      <c r="AR191" s="847"/>
    </row>
    <row r="192" spans="1:80" ht="16.350000000000001" customHeight="1">
      <c r="W192" s="825" t="str">
        <f>'Translate&amp;Prices&amp;Logo'!$O$543</f>
        <v>Szprosy</v>
      </c>
      <c r="X192" s="825"/>
      <c r="Y192" s="825"/>
      <c r="Z192" s="825"/>
      <c r="AA192" s="825"/>
      <c r="AB192" s="399"/>
      <c r="AC192" s="824" t="str">
        <f>IFERROR(VLOOKUP(Ram_6!$AU$10,AU192:AV195,2,0),0)</f>
        <v>Nie</v>
      </c>
      <c r="AD192" s="824"/>
      <c r="AE192" s="824"/>
      <c r="AF192" s="824"/>
      <c r="AG192" s="824"/>
      <c r="AH192" s="824"/>
      <c r="AI192" s="824"/>
      <c r="AJ192" s="824"/>
      <c r="AK192" s="824"/>
      <c r="AL192" s="824"/>
      <c r="AM192" s="824"/>
      <c r="AN192" s="824"/>
      <c r="AO192" s="824"/>
      <c r="AR192" s="847"/>
      <c r="AU192">
        <v>0</v>
      </c>
      <c r="AV192" t="str">
        <f>'Translate&amp;Prices&amp;Logo'!$O$557</f>
        <v>Nie</v>
      </c>
      <c r="AZ192">
        <v>2</v>
      </c>
      <c r="BA192" t="str">
        <f>'Translate&amp;Prices&amp;Logo'!$O$551</f>
        <v>Zawiasy</v>
      </c>
      <c r="BX192" s="1">
        <v>1</v>
      </c>
      <c r="BY192" s="1" t="str">
        <f>'Translate&amp;Prices&amp;Logo'!$O$100</f>
        <v>Bez modyfikacji</v>
      </c>
      <c r="CA192"/>
      <c r="CB192"/>
    </row>
    <row r="193" spans="19:80" ht="16.350000000000001" customHeight="1">
      <c r="W193" s="278"/>
      <c r="X193" s="278"/>
      <c r="Y193" s="278"/>
      <c r="Z193" s="278"/>
      <c r="AA193" s="278"/>
      <c r="AB193" s="399"/>
      <c r="AC193" s="849" t="str">
        <f>'Translate&amp;Prices&amp;Logo'!$O$558</f>
        <v>Poziomo (termin dostawy 4 tygodnie)</v>
      </c>
      <c r="AD193" s="849"/>
      <c r="AE193" s="849"/>
      <c r="AF193" s="849"/>
      <c r="AG193" s="849"/>
      <c r="AH193" s="849"/>
      <c r="AI193" s="849"/>
      <c r="AJ193" s="849" t="str">
        <f>'Translate&amp;Prices&amp;Logo'!$O$559</f>
        <v>Pionowo (termin dostawy 4 tygodnie)</v>
      </c>
      <c r="AK193" s="849"/>
      <c r="AL193" s="849"/>
      <c r="AM193" s="849"/>
      <c r="AN193" s="849"/>
      <c r="AO193" s="849"/>
      <c r="AR193" s="847"/>
      <c r="AU193">
        <v>1</v>
      </c>
      <c r="AV193" t="str">
        <f>'Translate&amp;Prices&amp;Logo'!$O$558</f>
        <v>Poziomo (termin dostawy 4 tygodnie)</v>
      </c>
      <c r="AZ193">
        <v>3</v>
      </c>
      <c r="BA193" t="str">
        <f>'Translate&amp;Prices&amp;Logo'!$O$552</f>
        <v>Podnośniki</v>
      </c>
      <c r="BX193" s="1">
        <v>2</v>
      </c>
      <c r="BY193" s="1" t="str">
        <f>'Translate&amp;Prices&amp;Logo'!$O$101</f>
        <v>Hartowane</v>
      </c>
      <c r="CA193"/>
      <c r="CB193"/>
    </row>
    <row r="194" spans="19:80" ht="16.350000000000001" customHeight="1">
      <c r="W194" s="825" t="str">
        <f>('Translate&amp;Prices&amp;Logo'!$O$543)&amp;" "&amp;"("&amp;'Translate&amp;Prices&amp;Logo'!$O$174&amp;")"</f>
        <v>Szprosy (Ilość sztuk)</v>
      </c>
      <c r="X194" s="825"/>
      <c r="Y194" s="825"/>
      <c r="Z194" s="825"/>
      <c r="AA194" s="825"/>
      <c r="AB194" s="207"/>
      <c r="AC194" s="824">
        <f>Ram_6!$H$11</f>
        <v>0</v>
      </c>
      <c r="AD194" s="824"/>
      <c r="AE194" s="824"/>
      <c r="AF194" s="824"/>
      <c r="AG194" s="824"/>
      <c r="AH194" s="824"/>
      <c r="AI194" s="824"/>
      <c r="AJ194" s="824">
        <f>Ram_6!$M$11</f>
        <v>0</v>
      </c>
      <c r="AK194" s="824"/>
      <c r="AL194" s="824"/>
      <c r="AM194" s="824"/>
      <c r="AN194" s="824"/>
      <c r="AO194" s="824"/>
      <c r="AR194" s="847"/>
      <c r="AU194">
        <v>2</v>
      </c>
      <c r="AV194" t="str">
        <f>'Translate&amp;Prices&amp;Logo'!$O$559</f>
        <v>Pionowo (termin dostawy 4 tygodnie)</v>
      </c>
      <c r="BX194" s="1">
        <v>3</v>
      </c>
      <c r="BY194" s="1" t="str">
        <f>'Translate&amp;Prices&amp;Logo'!$O$102</f>
        <v>Folia</v>
      </c>
      <c r="CA194"/>
      <c r="CB194"/>
    </row>
    <row r="195" spans="19:80" ht="16.350000000000001" customHeight="1">
      <c r="W195" s="825" t="str">
        <f>'Translate&amp;Prices&amp;Logo'!$O$258</f>
        <v>Typ okucia</v>
      </c>
      <c r="X195" s="825"/>
      <c r="Y195" s="825"/>
      <c r="Z195" s="825"/>
      <c r="AA195" s="825"/>
      <c r="AB195" s="399"/>
      <c r="AC195" s="824">
        <f>IFERROR(VLOOKUP(Ram_6!$AU$9,AZ192:BA193,2,0),0)</f>
        <v>0</v>
      </c>
      <c r="AD195" s="824"/>
      <c r="AE195" s="824"/>
      <c r="AF195" s="824"/>
      <c r="AG195" s="824"/>
      <c r="AH195" s="824"/>
      <c r="AI195" s="824"/>
      <c r="AJ195" s="824"/>
      <c r="AK195" s="824"/>
      <c r="AL195" s="824"/>
      <c r="AM195" s="824"/>
      <c r="AN195" s="824"/>
      <c r="AO195" s="824"/>
      <c r="AR195" s="847"/>
      <c r="AU195">
        <v>3</v>
      </c>
      <c r="AV195" t="str">
        <f>'Translate&amp;Prices&amp;Logo'!$O$560</f>
        <v>Poziomo i pionowo (termin dostawy 4 tygodnie)</v>
      </c>
      <c r="CA195"/>
      <c r="CB195"/>
    </row>
    <row r="196" spans="19:80" ht="16.350000000000001" customHeight="1">
      <c r="W196" s="825" t="str">
        <f>'Translate&amp;Prices&amp;Logo'!$O$544</f>
        <v>Marka okucia</v>
      </c>
      <c r="X196" s="825"/>
      <c r="Y196" s="825"/>
      <c r="Z196" s="825"/>
      <c r="AA196" s="825"/>
      <c r="AB196" s="399"/>
      <c r="AC196" s="824">
        <f>Ram_6!$H$13</f>
        <v>0</v>
      </c>
      <c r="AD196" s="824"/>
      <c r="AE196" s="824"/>
      <c r="AF196" s="824"/>
      <c r="AG196" s="824"/>
      <c r="AH196" s="824"/>
      <c r="AI196" s="824"/>
      <c r="AJ196" s="824"/>
      <c r="AK196" s="824"/>
      <c r="AL196" s="824"/>
      <c r="AM196" s="824"/>
      <c r="AN196" s="824"/>
      <c r="AO196" s="824"/>
      <c r="AR196" s="847"/>
      <c r="CA196"/>
      <c r="CB196"/>
    </row>
    <row r="197" spans="19:80" ht="16.350000000000001" customHeight="1" thickBot="1">
      <c r="W197" s="825" t="str">
        <f>'Translate&amp;Prices&amp;Logo'!$O$546</f>
        <v>Nałożenie</v>
      </c>
      <c r="X197" s="825"/>
      <c r="Y197" s="825"/>
      <c r="Z197" s="825"/>
      <c r="AA197" s="825"/>
      <c r="AB197" s="399"/>
      <c r="AC197" s="824">
        <f>IFERROR(VLOOKUP(Ram_6!$H$14,$BD$12:$BE$29,2,0),0)</f>
        <v>0</v>
      </c>
      <c r="AD197" s="824"/>
      <c r="AE197" s="824"/>
      <c r="AF197" s="824"/>
      <c r="AG197" s="824"/>
      <c r="AH197" s="824"/>
      <c r="AI197" s="824"/>
      <c r="AJ197" s="824"/>
      <c r="AK197" s="824"/>
      <c r="AL197" s="824"/>
      <c r="AM197" s="824"/>
      <c r="AN197" s="824"/>
      <c r="AO197" s="824"/>
      <c r="AR197" s="847"/>
      <c r="CA197"/>
      <c r="CB197"/>
    </row>
    <row r="198" spans="19:80" ht="16.350000000000001" customHeight="1">
      <c r="S198" s="822">
        <f>Ram_6!AR14</f>
        <v>0</v>
      </c>
      <c r="W198" s="825" t="str">
        <f>'Translate&amp;Prices&amp;Logo'!$O$545</f>
        <v>Wariant okucia</v>
      </c>
      <c r="X198" s="825"/>
      <c r="Y198" s="825"/>
      <c r="Z198" s="825"/>
      <c r="AA198" s="825"/>
      <c r="AB198" s="399"/>
      <c r="AC198" s="841">
        <f>IFERROR(VLOOKUP(Ram_6!$H$15,kombinace_1!$ED$2:$EE$760,2,0),Ram_6!$H$15)</f>
        <v>0</v>
      </c>
      <c r="AD198" s="841"/>
      <c r="AE198" s="841"/>
      <c r="AF198" s="841"/>
      <c r="AG198" s="841"/>
      <c r="AH198" s="841"/>
      <c r="AI198" s="841"/>
      <c r="AJ198" s="841" t="str">
        <f>IF(AC198='Translate&amp;Prices&amp;Logo'!C698,VLOOKUP(Ram_6!H17,'Translate&amp;Prices&amp;Logo'!C699:D746,2,0),"")</f>
        <v/>
      </c>
      <c r="AK198" s="841"/>
      <c r="AL198" s="841"/>
      <c r="AM198" s="841"/>
      <c r="AN198" s="841"/>
      <c r="AO198" s="841"/>
      <c r="AR198" s="847"/>
      <c r="CA198"/>
      <c r="CB198"/>
    </row>
    <row r="199" spans="19:80" ht="16.350000000000001" customHeight="1">
      <c r="S199" s="823">
        <f>Ram_1!AR195</f>
        <v>0</v>
      </c>
      <c r="W199" s="825" t="str">
        <f>'Translate&amp;Prices&amp;Logo'!$O$218</f>
        <v>Wybierz pozycję ramki</v>
      </c>
      <c r="X199" s="825"/>
      <c r="Y199" s="825"/>
      <c r="Z199" s="825"/>
      <c r="AA199" s="825"/>
      <c r="AB199" s="824">
        <f>IFERROR(VLOOKUP(Ram_6!$F$16,BI12:BJ23,2,0),0)</f>
        <v>0</v>
      </c>
      <c r="AC199" s="824"/>
      <c r="AD199" s="824"/>
      <c r="AE199" s="824"/>
      <c r="AF199" s="824"/>
      <c r="AG199" s="850" t="str">
        <f>'Translate&amp;Prices&amp;Logo'!$O$232</f>
        <v>Rodzaj drugiej ramki</v>
      </c>
      <c r="AH199" s="850"/>
      <c r="AI199" s="850"/>
      <c r="AJ199" s="824">
        <f>IFERROR(VLOOKUP(Ram_6!$N$16,BM12:BN41,2,0),0)</f>
        <v>0</v>
      </c>
      <c r="AK199" s="824"/>
      <c r="AL199" s="824"/>
      <c r="AM199" s="824"/>
      <c r="AN199" s="824"/>
      <c r="AO199" s="824"/>
      <c r="AR199" s="847"/>
      <c r="CA199"/>
      <c r="CB199"/>
    </row>
    <row r="200" spans="19:80" ht="16.350000000000001" customHeight="1">
      <c r="S200" s="823">
        <f>Ram_1!AR196</f>
        <v>0</v>
      </c>
      <c r="W200" s="825" t="str">
        <f>IF(AC195='Translate&amp;Prices&amp;Logo'!O551,'Translate&amp;Prices&amp;Logo'!O238,'Translate&amp;Prices&amp;Logo'!$O$226)</f>
        <v>Umieszczenie</v>
      </c>
      <c r="X200" s="825"/>
      <c r="Y200" s="825"/>
      <c r="Z200" s="825"/>
      <c r="AA200" s="825"/>
      <c r="AB200" s="399"/>
      <c r="AC200" s="824" t="str">
        <f>IFERROR((IF(Ram_6!H12='Translate&amp;Prices&amp;Logo'!B552,VLOOKUP(Ram_6!$N$16,BM42:BN65,2,0),VLOOKUP(Ram_6!$H$17,BM42:BN65,2,0))),"")</f>
        <v/>
      </c>
      <c r="AD200" s="824"/>
      <c r="AE200" s="824"/>
      <c r="AF200" s="824"/>
      <c r="AG200" s="824"/>
      <c r="AH200" s="824"/>
      <c r="AI200" s="824"/>
      <c r="AJ200" s="824"/>
      <c r="AK200" s="824"/>
      <c r="AL200" s="824"/>
      <c r="AM200" s="824"/>
      <c r="AN200" s="824"/>
      <c r="AO200" s="824"/>
      <c r="AR200" s="847"/>
      <c r="CA200"/>
      <c r="CB200"/>
    </row>
    <row r="201" spans="19:80" ht="16.350000000000001" customHeight="1">
      <c r="S201" s="823">
        <f>Ram_1!AR197</f>
        <v>0</v>
      </c>
      <c r="W201" s="825" t="str">
        <f>'Translate&amp;Prices&amp;Logo'!$O$547</f>
        <v>Zawiasy do podnośników</v>
      </c>
      <c r="X201" s="825"/>
      <c r="Y201" s="825"/>
      <c r="Z201" s="825"/>
      <c r="AA201" s="825"/>
      <c r="AB201" s="399"/>
      <c r="AC201" s="824">
        <f>IFERROR((VLOOKUP(Ram_6!$H$18,$CK$2:$CL$90,2,0)),Ram_6!$H$18)</f>
        <v>0</v>
      </c>
      <c r="AD201" s="824"/>
      <c r="AE201" s="824"/>
      <c r="AF201" s="824"/>
      <c r="AG201" s="824"/>
      <c r="AH201" s="824"/>
      <c r="AI201" s="824"/>
      <c r="AJ201" s="824"/>
      <c r="AK201" s="824"/>
      <c r="AL201" s="824"/>
      <c r="AM201" s="824"/>
      <c r="AN201" s="824"/>
      <c r="AO201" s="824"/>
      <c r="AR201" s="847"/>
      <c r="CA201"/>
      <c r="CB201"/>
    </row>
    <row r="202" spans="19:80" ht="16.350000000000001" customHeight="1">
      <c r="S202" s="823">
        <f>Ram_1!AR198</f>
        <v>0</v>
      </c>
      <c r="W202" s="825" t="str">
        <f>'Translate&amp;Prices&amp;Logo'!$O$223</f>
        <v>Ilość zawiasów na 1 ramkę</v>
      </c>
      <c r="X202" s="825"/>
      <c r="Y202" s="825"/>
      <c r="Z202" s="825"/>
      <c r="AA202" s="825"/>
      <c r="AB202" s="207"/>
      <c r="AC202" s="824">
        <f>Ram_6!$H$19</f>
        <v>0</v>
      </c>
      <c r="AD202" s="824"/>
      <c r="AE202" s="824"/>
      <c r="AF202" s="824"/>
      <c r="AG202" s="824"/>
      <c r="AH202" s="824"/>
      <c r="AI202" s="824"/>
      <c r="AJ202" s="824"/>
      <c r="AK202" s="824"/>
      <c r="AL202" s="824"/>
      <c r="AM202" s="824"/>
      <c r="AN202" s="824"/>
      <c r="AO202" s="824"/>
      <c r="AR202" s="847"/>
      <c r="CA202"/>
      <c r="CB202"/>
    </row>
    <row r="203" spans="19:80" ht="16.350000000000001" customHeight="1">
      <c r="S203" s="820" t="str">
        <f>'Translate&amp;Prices&amp;Logo'!$O$176</f>
        <v>Wysokość</v>
      </c>
      <c r="W203" s="825" t="e">
        <f>'Translate&amp;Prices&amp;Logo'!$O$242&amp;" "&amp;VLOOKUP(Ram_6!H17,kombinace_1!$BY$32:$CC$35,5,0)</f>
        <v>#N/A</v>
      </c>
      <c r="X203" s="825"/>
      <c r="Y203" s="825"/>
      <c r="Z203" s="825"/>
      <c r="AA203" s="825"/>
      <c r="AB203" s="824">
        <f>Ram_6!$F$20</f>
        <v>100</v>
      </c>
      <c r="AC203" s="824"/>
      <c r="AD203" s="824"/>
      <c r="AE203" s="824"/>
      <c r="AF203" s="824"/>
      <c r="AG203" s="825" t="e">
        <f>'Translate&amp;Prices&amp;Logo'!$O$242&amp;" "&amp;VLOOKUP(Ram_6!H17,kombinace_1!$BY$32:$CD$35,6,0)</f>
        <v>#N/A</v>
      </c>
      <c r="AH203" s="825"/>
      <c r="AI203" s="825"/>
      <c r="AJ203" s="825"/>
      <c r="AK203" s="825"/>
      <c r="AL203" s="824">
        <f>Ram_6!$N$20</f>
        <v>100</v>
      </c>
      <c r="AM203" s="824"/>
      <c r="AN203" s="824"/>
      <c r="AO203" s="824"/>
      <c r="AR203" s="847"/>
      <c r="CA203"/>
      <c r="CB203"/>
    </row>
    <row r="204" spans="19:80" ht="16.350000000000001" customHeight="1">
      <c r="S204" s="820" t="e">
        <f>Ram_1!#REF!</f>
        <v>#REF!</v>
      </c>
      <c r="W204" s="403" t="str">
        <f>'Translate&amp;Prices&amp;Logo'!$O$653</f>
        <v>Wypełnienie z siatki</v>
      </c>
      <c r="X204" s="278"/>
      <c r="Y204" s="278"/>
      <c r="Z204" s="278"/>
      <c r="AA204" s="278"/>
      <c r="AB204" s="399"/>
      <c r="AC204" s="826" t="str">
        <f>IF(kombinace_6!FC2=TRUE,"Tak","Nie")</f>
        <v>Nie</v>
      </c>
      <c r="AD204" s="826"/>
      <c r="AE204" s="826"/>
      <c r="AF204" s="826"/>
      <c r="AG204" s="826"/>
      <c r="AH204" s="826"/>
      <c r="AI204" s="826"/>
      <c r="AJ204" s="826"/>
      <c r="AK204" s="826"/>
      <c r="AL204" s="826"/>
      <c r="AM204" s="826"/>
      <c r="AN204" s="826"/>
      <c r="AO204" s="826"/>
      <c r="AR204" s="847"/>
      <c r="CA204"/>
      <c r="CB204"/>
    </row>
    <row r="205" spans="19:80" ht="16.350000000000001" customHeight="1">
      <c r="S205" s="820" t="e">
        <f>Ram_1!#REF!</f>
        <v>#REF!</v>
      </c>
      <c r="W205" s="825" t="str">
        <f>'Translate&amp;Prices&amp;Logo'!$O$173</f>
        <v>Rodzaj szkła</v>
      </c>
      <c r="X205" s="825"/>
      <c r="Y205" s="825"/>
      <c r="Z205" s="825"/>
      <c r="AA205" s="825"/>
      <c r="AB205" s="399"/>
      <c r="AC205" s="824" t="str">
        <f>IFERROR(VLOOKUP(kombinace_6!$V$1,BX192:BY194,2,0),0)</f>
        <v>Bez modyfikacji</v>
      </c>
      <c r="AD205" s="824"/>
      <c r="AE205" s="824"/>
      <c r="AF205" s="824"/>
      <c r="AG205" s="824"/>
      <c r="AH205" s="824"/>
      <c r="AI205" s="824"/>
      <c r="AJ205" s="824"/>
      <c r="AK205" s="824"/>
      <c r="AL205" s="824"/>
      <c r="AM205" s="824"/>
      <c r="AN205" s="824"/>
      <c r="AO205" s="824"/>
      <c r="AR205" s="847"/>
      <c r="CA205"/>
      <c r="CB205"/>
    </row>
    <row r="206" spans="19:80" ht="16.350000000000001" customHeight="1">
      <c r="S206" s="820" t="e">
        <f>Ram_1!#REF!</f>
        <v>#REF!</v>
      </c>
      <c r="W206" s="825" t="str">
        <f>'Translate&amp;Prices&amp;Logo'!$O$562</f>
        <v>Rodzaj folii</v>
      </c>
      <c r="X206" s="825"/>
      <c r="Y206" s="825"/>
      <c r="Z206" s="825"/>
      <c r="AA206" s="825"/>
      <c r="AB206" s="399"/>
      <c r="AC206" s="824">
        <f>IFERROR(VLOOKUP(Ram_6!$H$24,CA12:CB29,2,0),0)</f>
        <v>0</v>
      </c>
      <c r="AD206" s="824"/>
      <c r="AE206" s="824"/>
      <c r="AF206" s="824"/>
      <c r="AG206" s="824"/>
      <c r="AH206" s="824"/>
      <c r="AI206" s="824"/>
      <c r="AJ206" s="824"/>
      <c r="AK206" s="824"/>
      <c r="AL206" s="824"/>
      <c r="AM206" s="824"/>
      <c r="AN206" s="824"/>
      <c r="AO206" s="824"/>
      <c r="AR206" s="847"/>
      <c r="CA206"/>
      <c r="CB206"/>
    </row>
    <row r="207" spans="19:80" ht="16.350000000000001" customHeight="1" thickBot="1">
      <c r="S207" s="821" t="e">
        <f>Ram_1!#REF!</f>
        <v>#REF!</v>
      </c>
      <c r="W207" s="825" t="str">
        <f>'Translate&amp;Prices&amp;Logo'!$O$173</f>
        <v>Rodzaj szkła</v>
      </c>
      <c r="X207" s="825"/>
      <c r="Y207" s="825"/>
      <c r="Z207" s="825"/>
      <c r="AA207" s="825"/>
      <c r="AB207" s="399"/>
      <c r="AC207" s="824">
        <f>IFERROR(VLOOKUP(Ram_6!$H$25,'Translate&amp;Prices&amp;Logo'!$AH$1:$AI$165,2,0),Ram_6!$H$25)</f>
        <v>0</v>
      </c>
      <c r="AD207" s="824"/>
      <c r="AE207" s="824"/>
      <c r="AF207" s="824"/>
      <c r="AG207" s="824"/>
      <c r="AH207" s="824"/>
      <c r="AI207" s="824"/>
      <c r="AJ207" s="824"/>
      <c r="AK207" s="824"/>
      <c r="AL207" s="824"/>
      <c r="AM207" s="824"/>
      <c r="AN207" s="824"/>
      <c r="AO207" s="824"/>
      <c r="AR207" s="847"/>
    </row>
    <row r="208" spans="19:80" ht="16.350000000000001" customHeight="1">
      <c r="W208" s="825" t="str">
        <f>'Translate&amp;Prices&amp;Logo'!$O$549</f>
        <v>Rozstaw uchwytu (mm)</v>
      </c>
      <c r="X208" s="825"/>
      <c r="Y208" s="825"/>
      <c r="Z208" s="825"/>
      <c r="AA208" s="825"/>
      <c r="AB208" s="399"/>
      <c r="AC208" s="824">
        <f>Ram_6!$H$26</f>
        <v>0</v>
      </c>
      <c r="AD208" s="824"/>
      <c r="AE208" s="824"/>
      <c r="AF208" s="824"/>
      <c r="AG208" s="824"/>
      <c r="AH208" s="824"/>
      <c r="AI208" s="824"/>
      <c r="AJ208" s="824"/>
      <c r="AK208" s="824"/>
      <c r="AL208" s="824"/>
      <c r="AM208" s="824"/>
      <c r="AN208" s="824"/>
      <c r="AO208" s="824"/>
      <c r="AR208" s="847"/>
    </row>
    <row r="209" spans="1:44" ht="16.350000000000001" customHeight="1">
      <c r="W209" s="825" t="str">
        <f>'Translate&amp;Prices&amp;Logo'!$O$550</f>
        <v>Umieszczenie uchwytu</v>
      </c>
      <c r="X209" s="825"/>
      <c r="Y209" s="825"/>
      <c r="Z209" s="825"/>
      <c r="AA209" s="825"/>
      <c r="AB209" s="399"/>
      <c r="AC209" s="824">
        <f>IFERROR(VLOOKUP(Ram_6!$H$27,BM62:BN65,2,0),0)</f>
        <v>0</v>
      </c>
      <c r="AD209" s="824"/>
      <c r="AE209" s="824"/>
      <c r="AF209" s="824"/>
      <c r="AG209" s="824"/>
      <c r="AH209" s="824"/>
      <c r="AI209" s="824"/>
      <c r="AJ209" s="824"/>
      <c r="AK209" s="824"/>
      <c r="AL209" s="824"/>
      <c r="AM209" s="824"/>
      <c r="AN209" s="824"/>
      <c r="AO209" s="824"/>
      <c r="AR209" s="847"/>
    </row>
    <row r="210" spans="1:44" ht="16.350000000000001" customHeight="1">
      <c r="W210" s="825" t="str">
        <f>('Translate&amp;Prices&amp;Logo'!$O$174)&amp;" "&amp;"-"&amp;" "&amp;('Translate&amp;Prices&amp;Logo'!$O$169)&amp;" "&amp;" "&amp;6</f>
        <v>Ilość sztuk - Ramka  6</v>
      </c>
      <c r="X210" s="825"/>
      <c r="Y210" s="825"/>
      <c r="Z210" s="825"/>
      <c r="AA210" s="825"/>
      <c r="AB210" s="399"/>
      <c r="AC210" s="824">
        <f>Ram_6!$H$28</f>
        <v>0</v>
      </c>
      <c r="AD210" s="824"/>
      <c r="AE210" s="824"/>
      <c r="AF210" s="824"/>
      <c r="AG210" s="824"/>
      <c r="AH210" s="824"/>
      <c r="AI210" s="824"/>
      <c r="AJ210" s="824"/>
      <c r="AK210" s="824"/>
      <c r="AL210" s="824"/>
      <c r="AM210" s="824"/>
      <c r="AN210" s="824"/>
      <c r="AO210" s="824"/>
      <c r="AR210" s="847"/>
    </row>
    <row r="211" spans="1:44" ht="16.350000000000001" customHeight="1">
      <c r="AE211" s="1"/>
      <c r="AF211" s="1"/>
      <c r="AR211" s="847"/>
    </row>
    <row r="212" spans="1:44" ht="14.85" customHeight="1">
      <c r="AR212" s="847"/>
    </row>
    <row r="213" spans="1:44" ht="14.85" customHeight="1">
      <c r="W213" s="836" t="s">
        <v>2572</v>
      </c>
      <c r="X213" s="836"/>
      <c r="Y213" s="836"/>
      <c r="Z213" s="836"/>
      <c r="AE213" s="836" t="s">
        <v>2573</v>
      </c>
      <c r="AF213" s="836"/>
      <c r="AG213" s="836"/>
      <c r="AH213" s="836"/>
      <c r="AR213" s="847"/>
    </row>
    <row r="214" spans="1:44" ht="14.85" customHeight="1">
      <c r="AE214" s="827"/>
      <c r="AF214" s="828"/>
      <c r="AG214" s="828"/>
      <c r="AH214" s="828"/>
      <c r="AI214" s="828"/>
      <c r="AJ214" s="828"/>
      <c r="AK214" s="828"/>
      <c r="AL214" s="828"/>
      <c r="AM214" s="828"/>
      <c r="AN214" s="829"/>
      <c r="AR214" s="847"/>
    </row>
    <row r="215" spans="1:44" ht="14.85" customHeight="1">
      <c r="AE215" s="830"/>
      <c r="AF215" s="831"/>
      <c r="AG215" s="831"/>
      <c r="AH215" s="831"/>
      <c r="AI215" s="831"/>
      <c r="AJ215" s="831"/>
      <c r="AK215" s="831"/>
      <c r="AL215" s="831"/>
      <c r="AM215" s="831"/>
      <c r="AN215" s="832"/>
      <c r="AR215" s="847"/>
    </row>
    <row r="216" spans="1:44" ht="14.85" customHeight="1">
      <c r="AE216" s="830"/>
      <c r="AF216" s="831"/>
      <c r="AG216" s="831"/>
      <c r="AH216" s="831"/>
      <c r="AI216" s="831"/>
      <c r="AJ216" s="831"/>
      <c r="AK216" s="831"/>
      <c r="AL216" s="831"/>
      <c r="AM216" s="831"/>
      <c r="AN216" s="832"/>
      <c r="AR216" s="847"/>
    </row>
    <row r="217" spans="1:44" ht="14.85" customHeight="1">
      <c r="D217" s="844">
        <f>IF(OR(Ram_6!$AC$25="x",Ram_6!$AJ$26="x",Ram_6!$AC$9="x",Ram_6!$AJ$7="x",Ram_6!$AB$16="x",Ram_6!$AM$23="x",Ram_6!$AN$19="x",Ram_6!$AD$10="x"),'Translate&amp;Prices&amp;Logo'!$B$588,0)</f>
        <v>0</v>
      </c>
      <c r="E217" s="844"/>
      <c r="F217" s="844"/>
      <c r="G217" s="844"/>
      <c r="H217" s="844"/>
      <c r="I217" s="844"/>
      <c r="J217" s="844"/>
      <c r="K217" s="844"/>
      <c r="L217" s="844"/>
      <c r="M217" s="844"/>
      <c r="N217" s="844"/>
      <c r="O217" s="844"/>
      <c r="P217" s="844"/>
      <c r="AE217" s="830"/>
      <c r="AF217" s="831"/>
      <c r="AG217" s="831"/>
      <c r="AH217" s="831"/>
      <c r="AI217" s="831"/>
      <c r="AJ217" s="831"/>
      <c r="AK217" s="831"/>
      <c r="AL217" s="831"/>
      <c r="AM217" s="831"/>
      <c r="AN217" s="832"/>
      <c r="AR217" s="847"/>
    </row>
    <row r="218" spans="1:44" ht="14.85" customHeight="1">
      <c r="AE218" s="830"/>
      <c r="AF218" s="831"/>
      <c r="AG218" s="831"/>
      <c r="AH218" s="831"/>
      <c r="AI218" s="831"/>
      <c r="AJ218" s="831"/>
      <c r="AK218" s="831"/>
      <c r="AL218" s="831"/>
      <c r="AM218" s="831"/>
      <c r="AN218" s="832"/>
      <c r="AR218" s="847"/>
    </row>
    <row r="219" spans="1:44" ht="14.85" customHeight="1" thickBot="1">
      <c r="AE219" s="830"/>
      <c r="AF219" s="831"/>
      <c r="AG219" s="831"/>
      <c r="AH219" s="831"/>
      <c r="AI219" s="831"/>
      <c r="AJ219" s="831"/>
      <c r="AK219" s="831"/>
      <c r="AL219" s="831"/>
      <c r="AM219" s="831"/>
      <c r="AN219" s="832"/>
      <c r="AR219" s="847"/>
    </row>
    <row r="220" spans="1:44" ht="14.85" customHeight="1" thickBot="1">
      <c r="G220" s="816" t="str">
        <f>'Translate&amp;Prices&amp;Logo'!$O$175</f>
        <v>Szerokość</v>
      </c>
      <c r="H220" s="817" t="e">
        <f>Ram_1!#REF!</f>
        <v>#REF!</v>
      </c>
      <c r="I220" s="817" t="e">
        <f>Ram_1!#REF!</f>
        <v>#REF!</v>
      </c>
      <c r="J220" s="818">
        <f>Ram_6!AI30</f>
        <v>0</v>
      </c>
      <c r="K220" s="818" t="e">
        <f>Ram_1!#REF!</f>
        <v>#REF!</v>
      </c>
      <c r="L220" s="819" t="e">
        <f>Ram_1!#REF!</f>
        <v>#REF!</v>
      </c>
      <c r="AE220" s="830"/>
      <c r="AF220" s="831"/>
      <c r="AG220" s="831"/>
      <c r="AH220" s="831"/>
      <c r="AI220" s="831"/>
      <c r="AJ220" s="831"/>
      <c r="AK220" s="831"/>
      <c r="AL220" s="831"/>
      <c r="AM220" s="831"/>
      <c r="AN220" s="832"/>
      <c r="AR220" s="847"/>
    </row>
    <row r="221" spans="1:44" ht="21" customHeight="1">
      <c r="AE221" s="833"/>
      <c r="AF221" s="834"/>
      <c r="AG221" s="834"/>
      <c r="AH221" s="834"/>
      <c r="AI221" s="834"/>
      <c r="AJ221" s="834"/>
      <c r="AK221" s="834"/>
      <c r="AL221" s="834"/>
      <c r="AM221" s="834"/>
      <c r="AN221" s="835"/>
      <c r="AR221" s="847"/>
    </row>
    <row r="222" spans="1:44" ht="14.85" customHeight="1">
      <c r="AR222" s="847"/>
    </row>
    <row r="223" spans="1:44" ht="14.85" customHeight="1">
      <c r="AR223" s="847"/>
    </row>
    <row r="224" spans="1:44" ht="14.8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276"/>
      <c r="AF224" s="277"/>
      <c r="AG224" s="123"/>
      <c r="AH224" s="123"/>
      <c r="AI224" s="123"/>
      <c r="AJ224" s="123"/>
      <c r="AK224" s="123"/>
      <c r="AL224" s="123"/>
      <c r="AM224" s="123"/>
      <c r="AN224" s="123"/>
      <c r="AO224" s="123"/>
      <c r="AP224" s="123"/>
      <c r="AQ224" s="123"/>
      <c r="AR224" s="123"/>
    </row>
  </sheetData>
  <mergeCells count="357">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 ref="AB55:AF55"/>
    <mergeCell ref="W56:AA56"/>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AC14:AI14"/>
    <mergeCell ref="AJ14:AO14"/>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W57:AA57"/>
    <mergeCell ref="AC62:AO62"/>
    <mergeCell ref="AJ54:AO54"/>
    <mergeCell ref="AC60:AO60"/>
    <mergeCell ref="AG55:AI55"/>
    <mergeCell ref="AJ55:AO55"/>
    <mergeCell ref="W66:AA66"/>
    <mergeCell ref="AC66:AO66"/>
    <mergeCell ref="W59:AA59"/>
    <mergeCell ref="AG59:AK59"/>
    <mergeCell ref="AL59:AO59"/>
    <mergeCell ref="W61:AA61"/>
    <mergeCell ref="AC61:AO61"/>
    <mergeCell ref="W62:AA62"/>
    <mergeCell ref="W65:AA65"/>
    <mergeCell ref="AC65:AO65"/>
    <mergeCell ref="W63:AA63"/>
    <mergeCell ref="W69:Z69"/>
    <mergeCell ref="AE69:AH69"/>
    <mergeCell ref="AE70:AN77"/>
    <mergeCell ref="G76:I76"/>
    <mergeCell ref="J76:L76"/>
    <mergeCell ref="AC89:AO89"/>
    <mergeCell ref="W84:AA84"/>
    <mergeCell ref="AC84:AO84"/>
    <mergeCell ref="S90:S94"/>
    <mergeCell ref="AB91:AF91"/>
    <mergeCell ref="W92:AA92"/>
    <mergeCell ref="AC92:AO92"/>
    <mergeCell ref="AC93:AO93"/>
    <mergeCell ref="AC81:AO81"/>
    <mergeCell ref="AC90:AI90"/>
    <mergeCell ref="AJ90:AO90"/>
    <mergeCell ref="AG91:AI91"/>
    <mergeCell ref="AK91:AO91"/>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86:AA86"/>
    <mergeCell ref="AC86:AI86"/>
    <mergeCell ref="AJ86:AO86"/>
    <mergeCell ref="W98:AA98"/>
    <mergeCell ref="AE105:AH105"/>
    <mergeCell ref="W90:AA90"/>
    <mergeCell ref="W91:AA91"/>
    <mergeCell ref="W93:AA93"/>
    <mergeCell ref="W95:AA95"/>
    <mergeCell ref="AG95:AK95"/>
    <mergeCell ref="AL95:AO95"/>
    <mergeCell ref="W97:AA97"/>
    <mergeCell ref="AC97:AO97"/>
    <mergeCell ref="W99:AA99"/>
    <mergeCell ref="AC99:AO99"/>
    <mergeCell ref="AC98:AO98"/>
    <mergeCell ref="AC96:AO96"/>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J121:AO121"/>
    <mergeCell ref="W117:AA117"/>
    <mergeCell ref="AC122:AI122"/>
    <mergeCell ref="AC126:AI126"/>
    <mergeCell ref="AJ126:AO126"/>
    <mergeCell ref="AG127:AI127"/>
    <mergeCell ref="AJ127:AO127"/>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122:AA122"/>
    <mergeCell ref="W141:Z141"/>
    <mergeCell ref="W130:AA130"/>
    <mergeCell ref="AC130:AO130"/>
    <mergeCell ref="W131:AA131"/>
    <mergeCell ref="AC136:AO136"/>
    <mergeCell ref="W137:AA137"/>
    <mergeCell ref="AC137:AO137"/>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AC135:AO135"/>
    <mergeCell ref="W159:AA159"/>
    <mergeCell ref="AC159:AO159"/>
    <mergeCell ref="AJ157:AO157"/>
    <mergeCell ref="AC164:AO164"/>
    <mergeCell ref="AC162:AI162"/>
    <mergeCell ref="AJ162:AO162"/>
    <mergeCell ref="W164:AA164"/>
    <mergeCell ref="W162:AA162"/>
    <mergeCell ref="W163:AA163"/>
    <mergeCell ref="AG163:AI163"/>
    <mergeCell ref="AJ163:AO163"/>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W158:AA158"/>
    <mergeCell ref="AC158:AI158"/>
    <mergeCell ref="AJ158:AO158"/>
    <mergeCell ref="W170:AA170"/>
    <mergeCell ref="AC170:AO170"/>
    <mergeCell ref="AC157:AI157"/>
    <mergeCell ref="AE177:AH177"/>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AG199:AI199"/>
    <mergeCell ref="AJ199:AO199"/>
    <mergeCell ref="X4:AE5"/>
    <mergeCell ref="D217:P217"/>
    <mergeCell ref="W213:Z213"/>
    <mergeCell ref="AE213:AH213"/>
    <mergeCell ref="AE214:AN221"/>
    <mergeCell ref="G220:I220"/>
    <mergeCell ref="W206:AA206"/>
    <mergeCell ref="AC206:AO206"/>
    <mergeCell ref="W207:AA207"/>
    <mergeCell ref="W208:AA208"/>
    <mergeCell ref="AC20:AI20"/>
    <mergeCell ref="AJ20:AO20"/>
    <mergeCell ref="AF4:AF5"/>
    <mergeCell ref="S203:S207"/>
    <mergeCell ref="W203:AA203"/>
    <mergeCell ref="AB203:AF203"/>
    <mergeCell ref="AG203:AK203"/>
    <mergeCell ref="D37:P37"/>
    <mergeCell ref="D73:P73"/>
    <mergeCell ref="D109:P109"/>
    <mergeCell ref="D145:P145"/>
    <mergeCell ref="D181:P181"/>
    <mergeCell ref="G184:I184"/>
    <mergeCell ref="J184:L184"/>
    <mergeCell ref="S162:S166"/>
    <mergeCell ref="AB163:AF163"/>
    <mergeCell ref="AB167:AF167"/>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AG167:AK167"/>
    <mergeCell ref="W166:AA166"/>
    <mergeCell ref="AC166:AO166"/>
    <mergeCell ref="S167:S171"/>
    <mergeCell ref="W174:AA174"/>
    <mergeCell ref="AC174:AO174"/>
    <mergeCell ref="W169:AA169"/>
    <mergeCell ref="AC169:AO169"/>
    <mergeCell ref="W173:AA173"/>
    <mergeCell ref="W171:AA171"/>
    <mergeCell ref="AC172:AO172"/>
    <mergeCell ref="AC171:AO171"/>
    <mergeCell ref="AC168:AO168"/>
    <mergeCell ref="S198:S202"/>
    <mergeCell ref="W198:AA198"/>
    <mergeCell ref="W199:AA199"/>
    <mergeCell ref="AB199:AF199"/>
    <mergeCell ref="AC173:AO173"/>
    <mergeCell ref="AE178:AN185"/>
    <mergeCell ref="W172:AA172"/>
    <mergeCell ref="W177:Z177"/>
    <mergeCell ref="D8:K8"/>
    <mergeCell ref="D5:K5"/>
    <mergeCell ref="D6:K6"/>
    <mergeCell ref="D7:K7"/>
    <mergeCell ref="G112:I112"/>
    <mergeCell ref="J112:L112"/>
    <mergeCell ref="S95:S99"/>
    <mergeCell ref="S54:S58"/>
    <mergeCell ref="G148:I148"/>
    <mergeCell ref="J148:L148"/>
    <mergeCell ref="S126:S130"/>
    <mergeCell ref="S59:S63"/>
  </mergeCells>
  <conditionalFormatting sqref="D37:P37">
    <cfRule type="cellIs" dxfId="124" priority="75" operator="equal">
      <formula>0</formula>
    </cfRule>
  </conditionalFormatting>
  <conditionalFormatting sqref="D73:P73">
    <cfRule type="cellIs" dxfId="123" priority="73" operator="equal">
      <formula>0</formula>
    </cfRule>
  </conditionalFormatting>
  <conditionalFormatting sqref="D109:P109">
    <cfRule type="cellIs" dxfId="122" priority="72" operator="equal">
      <formula>0</formula>
    </cfRule>
  </conditionalFormatting>
  <conditionalFormatting sqref="D145:P145">
    <cfRule type="cellIs" dxfId="121" priority="71" operator="equal">
      <formula>0</formula>
    </cfRule>
  </conditionalFormatting>
  <conditionalFormatting sqref="D181:P181">
    <cfRule type="cellIs" dxfId="120" priority="70" operator="equal">
      <formula>0</formula>
    </cfRule>
  </conditionalFormatting>
  <conditionalFormatting sqref="D217:P217">
    <cfRule type="cellIs" dxfId="119" priority="69" operator="equal">
      <formula>0</formula>
    </cfRule>
  </conditionalFormatting>
  <conditionalFormatting sqref="W14:AB14">
    <cfRule type="expression" dxfId="117" priority="26">
      <formula>$AC$12=$AV$12</formula>
    </cfRule>
  </conditionalFormatting>
  <conditionalFormatting sqref="W20:AB20">
    <cfRule type="expression" dxfId="116" priority="191">
      <formula>$AC$20=0</formula>
    </cfRule>
  </conditionalFormatting>
  <conditionalFormatting sqref="W50:AB50">
    <cfRule type="expression" dxfId="115" priority="25">
      <formula>$AC$48=$AV$48</formula>
    </cfRule>
  </conditionalFormatting>
  <conditionalFormatting sqref="W86:AB86">
    <cfRule type="expression" dxfId="114" priority="24">
      <formula>$AC$84=$AV$84</formula>
    </cfRule>
  </conditionalFormatting>
  <conditionalFormatting sqref="W122:AB122">
    <cfRule type="expression" dxfId="113" priority="23">
      <formula>$AC$120=$AV$120</formula>
    </cfRule>
  </conditionalFormatting>
  <conditionalFormatting sqref="W158:AB158">
    <cfRule type="expression" dxfId="112" priority="22">
      <formula>$AC$156=$AV$156</formula>
    </cfRule>
  </conditionalFormatting>
  <conditionalFormatting sqref="W194:AB194">
    <cfRule type="expression" dxfId="111" priority="21">
      <formula>$AC$192=$AV$192</formula>
    </cfRule>
  </conditionalFormatting>
  <conditionalFormatting sqref="W95:AC96">
    <cfRule type="cellIs" dxfId="110" priority="31" operator="equal">
      <formula>0</formula>
    </cfRule>
  </conditionalFormatting>
  <conditionalFormatting sqref="W19:AG19 AJ19">
    <cfRule type="expression" dxfId="109" priority="192">
      <formula>$AB$19=0</formula>
    </cfRule>
  </conditionalFormatting>
  <conditionalFormatting sqref="W55:AG55 AJ55">
    <cfRule type="expression" dxfId="108" priority="112">
      <formula>$AB$55=0</formula>
    </cfRule>
  </conditionalFormatting>
  <conditionalFormatting sqref="W91:AG91 AJ91:AK91">
    <cfRule type="expression" dxfId="107" priority="104">
      <formula>$AB$91=0</formula>
    </cfRule>
  </conditionalFormatting>
  <conditionalFormatting sqref="W127:AG127 AJ127">
    <cfRule type="expression" dxfId="106" priority="96">
      <formula>$AB$127=0</formula>
    </cfRule>
  </conditionalFormatting>
  <conditionalFormatting sqref="W163:AG163 AJ163">
    <cfRule type="expression" dxfId="105" priority="88">
      <formula>$AB$163=0</formula>
    </cfRule>
  </conditionalFormatting>
  <conditionalFormatting sqref="W199:AG199 AJ199">
    <cfRule type="expression" dxfId="104" priority="80">
      <formula>$AB$199=0</formula>
    </cfRule>
  </conditionalFormatting>
  <conditionalFormatting sqref="W22:AO23">
    <cfRule type="expression" dxfId="103" priority="189">
      <formula>$AC$22=0</formula>
    </cfRule>
  </conditionalFormatting>
  <conditionalFormatting sqref="W56:AO56">
    <cfRule type="expression" dxfId="102" priority="111">
      <formula>$AC$56=0</formula>
    </cfRule>
  </conditionalFormatting>
  <conditionalFormatting sqref="W58:AO58 W59:AC59 AG59:AO59">
    <cfRule type="expression" dxfId="101" priority="109">
      <formula>$AC$58=0</formula>
    </cfRule>
  </conditionalFormatting>
  <conditionalFormatting sqref="W92:AO92">
    <cfRule type="expression" dxfId="100" priority="103">
      <formula>$AC$92=0</formula>
    </cfRule>
  </conditionalFormatting>
  <conditionalFormatting sqref="W94:AO94 W95:AA95 AC95 AG95:AO95">
    <cfRule type="expression" dxfId="99" priority="101">
      <formula>$AC$94=0</formula>
    </cfRule>
  </conditionalFormatting>
  <conditionalFormatting sqref="W128:AO128">
    <cfRule type="expression" dxfId="98" priority="95">
      <formula>$AC$128=0</formula>
    </cfRule>
  </conditionalFormatting>
  <conditionalFormatting sqref="W130:AO131">
    <cfRule type="expression" dxfId="97" priority="93">
      <formula>$AC$130=0</formula>
    </cfRule>
  </conditionalFormatting>
  <conditionalFormatting sqref="W164:AO164 AB165">
    <cfRule type="expression" dxfId="96" priority="87">
      <formula>$AC$164=0</formula>
    </cfRule>
  </conditionalFormatting>
  <conditionalFormatting sqref="W166:AO167">
    <cfRule type="expression" dxfId="95" priority="85">
      <formula>$AC$166=0</formula>
    </cfRule>
  </conditionalFormatting>
  <conditionalFormatting sqref="W200:AO200 AB201">
    <cfRule type="expression" dxfId="94" priority="79">
      <formula>$AC$200=0</formula>
    </cfRule>
  </conditionalFormatting>
  <conditionalFormatting sqref="W202:AO203">
    <cfRule type="expression" dxfId="93" priority="77">
      <formula>$AC$202=0</formula>
    </cfRule>
  </conditionalFormatting>
  <conditionalFormatting sqref="AB121">
    <cfRule type="cellIs" dxfId="92" priority="32" operator="equal">
      <formula>0</formula>
    </cfRule>
  </conditionalFormatting>
  <conditionalFormatting sqref="AB157">
    <cfRule type="cellIs" dxfId="91" priority="33" operator="equal">
      <formula>0</formula>
    </cfRule>
  </conditionalFormatting>
  <conditionalFormatting sqref="AC13">
    <cfRule type="expression" dxfId="90" priority="51" stopIfTrue="1">
      <formula>$AC$14=0</formula>
    </cfRule>
  </conditionalFormatting>
  <conditionalFormatting sqref="AC49:AI50">
    <cfRule type="expression" dxfId="89" priority="49" stopIfTrue="1">
      <formula>$AC$50=0</formula>
    </cfRule>
  </conditionalFormatting>
  <conditionalFormatting sqref="AC85:AI86">
    <cfRule type="expression" dxfId="88" priority="47" stopIfTrue="1">
      <formula>$AC$86=0</formula>
    </cfRule>
  </conditionalFormatting>
  <conditionalFormatting sqref="AC121:AI122">
    <cfRule type="expression" dxfId="87" priority="45" stopIfTrue="1">
      <formula>$AC$122=0</formula>
    </cfRule>
  </conditionalFormatting>
  <conditionalFormatting sqref="AC157:AI158">
    <cfRule type="expression" dxfId="86" priority="43" stopIfTrue="1">
      <formula>$AC$158=0</formula>
    </cfRule>
  </conditionalFormatting>
  <conditionalFormatting sqref="AC193:AI194">
    <cfRule type="expression" dxfId="85" priority="41" stopIfTrue="1">
      <formula>$AC$194=0</formula>
    </cfRule>
  </conditionalFormatting>
  <conditionalFormatting sqref="AC17:AO17">
    <cfRule type="expression" dxfId="84" priority="193">
      <formula>$AC$17=0</formula>
    </cfRule>
  </conditionalFormatting>
  <conditionalFormatting sqref="AC53:AO53">
    <cfRule type="expression" dxfId="83" priority="113">
      <formula>$AC$53=0</formula>
    </cfRule>
  </conditionalFormatting>
  <conditionalFormatting sqref="AC89:AO89">
    <cfRule type="expression" dxfId="82" priority="105">
      <formula>$AC$89=0</formula>
    </cfRule>
  </conditionalFormatting>
  <conditionalFormatting sqref="AC125:AO125">
    <cfRule type="expression" dxfId="81" priority="97">
      <formula>$AC$125=0</formula>
    </cfRule>
  </conditionalFormatting>
  <conditionalFormatting sqref="AC161:AO161">
    <cfRule type="expression" dxfId="80" priority="89">
      <formula>$AC$161=0</formula>
    </cfRule>
  </conditionalFormatting>
  <conditionalFormatting sqref="AC197:AO197">
    <cfRule type="expression" dxfId="79" priority="81">
      <formula>$AC$197=0</formula>
    </cfRule>
  </conditionalFormatting>
  <conditionalFormatting sqref="AJ13:AO14">
    <cfRule type="expression" dxfId="78" priority="50" stopIfTrue="1">
      <formula>$AJ$14=0</formula>
    </cfRule>
  </conditionalFormatting>
  <conditionalFormatting sqref="AJ49:AO50">
    <cfRule type="expression" dxfId="77" priority="48" stopIfTrue="1">
      <formula>$AJ$50=0</formula>
    </cfRule>
  </conditionalFormatting>
  <conditionalFormatting sqref="AJ85:AO86">
    <cfRule type="expression" dxfId="76" priority="46" stopIfTrue="1">
      <formula>$AJ$86=0</formula>
    </cfRule>
  </conditionalFormatting>
  <conditionalFormatting sqref="AJ121:AO122">
    <cfRule type="expression" dxfId="75" priority="44" stopIfTrue="1">
      <formula>$AJ$122=0</formula>
    </cfRule>
  </conditionalFormatting>
  <conditionalFormatting sqref="AJ157:AO158">
    <cfRule type="expression" dxfId="74" priority="42" stopIfTrue="1">
      <formula>$AJ$158=0</formula>
    </cfRule>
  </conditionalFormatting>
  <conditionalFormatting sqref="AJ193:AO194">
    <cfRule type="expression" dxfId="73" priority="40" stopIfTrue="1">
      <formula>$AJ$194=0</formula>
    </cfRule>
  </conditionalFormatting>
  <conditionalFormatting sqref="BS68:BT71">
    <cfRule type="expression" dxfId="72" priority="35" stopIfTrue="1">
      <formula>AND(COUNTIF($M$582:$M$587, BS68)+COUNTIF($M$593:$M$624, BS68)+COUNTIF($M$627:$M$627, BS68)+COUNTIF($M$642:$M$644, BS68)&gt;1,NOT(ISBLANK(BS68)))</formula>
    </cfRule>
  </conditionalFormatting>
  <conditionalFormatting sqref="BS104:BT107">
    <cfRule type="expression" dxfId="71" priority="34" stopIfTrue="1">
      <formula>AND(COUNTIF($M$582:$M$587, BS104)+COUNTIF($M$593:$M$624, BS104)+COUNTIF($M$627:$M$627, BS104)+COUNTIF($M$642:$M$644, BS104)&gt;1,NOT(ISBLANK(BS104)))</formula>
    </cfRule>
  </conditionalFormatting>
  <conditionalFormatting sqref="CK100:CK1048576 CK1:CK90">
    <cfRule type="duplicateValues" dxfId="70" priority="760"/>
  </conditionalFormatting>
  <conditionalFormatting sqref="CL73:CL84">
    <cfRule type="duplicateValues" dxfId="69" priority="3"/>
  </conditionalFormatting>
  <conditionalFormatting sqref="CL86:CL87">
    <cfRule type="duplicateValues" dxfId="68" priority="2"/>
  </conditionalFormatting>
  <conditionalFormatting sqref="CL89:CL90">
    <cfRule type="duplicateValues" dxfId="67" priority="1"/>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6" id="{ABBE0A8E-D02B-40AB-AB72-323015263E04}">
            <xm:f>Zakaznik!$K$23="Dostawa na adres"</xm:f>
            <x14:dxf>
              <font>
                <color theme="1"/>
              </font>
              <fill>
                <patternFill>
                  <bgColor rgb="FFFFFF00"/>
                </patternFill>
              </fill>
            </x14:dxf>
          </x14:cfRule>
          <xm:sqref>M5:U8 D6:K8</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083EA-33F5-4F26-A631-961A851CD561}">
  <sheetPr codeName="List3">
    <tabColor rgb="FF92D050"/>
  </sheetPr>
  <dimension ref="A1:CL224"/>
  <sheetViews>
    <sheetView showZeros="0" zoomScale="55" zoomScaleNormal="55" workbookViewId="0">
      <selection activeCell="B5" sqref="B5"/>
    </sheetView>
  </sheetViews>
  <sheetFormatPr defaultColWidth="0" defaultRowHeight="14.85" customHeight="1"/>
  <cols>
    <col min="1" max="1" width="2.42578125" style="1" customWidth="1"/>
    <col min="2" max="10" width="4.42578125" style="1" customWidth="1"/>
    <col min="11" max="14" width="5.5703125" style="1" customWidth="1"/>
    <col min="15" max="21" width="4.42578125" style="1" customWidth="1"/>
    <col min="22" max="26" width="6.140625" style="1" customWidth="1"/>
    <col min="27" max="29" width="6.42578125" style="1" customWidth="1"/>
    <col min="30" max="30" width="6.42578125" style="82" customWidth="1"/>
    <col min="31" max="31" width="6.42578125" style="77" customWidth="1"/>
    <col min="32" max="33" width="6.140625" style="1" customWidth="1"/>
    <col min="34" max="34" width="13" style="1" customWidth="1"/>
    <col min="35" max="36" width="6.140625" style="1" customWidth="1"/>
    <col min="37" max="40" width="6.42578125" style="1" customWidth="1"/>
    <col min="41" max="41" width="4.42578125" style="1" customWidth="1"/>
    <col min="42" max="42" width="3.85546875" style="1" customWidth="1"/>
    <col min="43" max="43" width="8.5703125" style="1" customWidth="1"/>
    <col min="44" max="51" width="8.5703125" style="1" hidden="1" customWidth="1"/>
    <col min="52" max="53" width="8.5703125" style="81" hidden="1" customWidth="1"/>
    <col min="54" max="54" width="8.5703125" style="1" hidden="1" customWidth="1"/>
    <col min="55" max="56" width="12.5703125" style="1" hidden="1" customWidth="1"/>
    <col min="57" max="59" width="8.5703125" style="1" hidden="1" customWidth="1"/>
    <col min="60" max="60" width="14.42578125" style="1" hidden="1" customWidth="1"/>
    <col min="61" max="61" width="20.28515625" style="1" hidden="1" customWidth="1"/>
    <col min="62" max="87" width="8.5703125" style="1" hidden="1" customWidth="1"/>
    <col min="88" max="88" width="34.28515625" style="1" hidden="1" customWidth="1"/>
    <col min="89" max="90" width="25" style="1" hidden="1" customWidth="1"/>
    <col min="91" max="16384" width="8.5703125" style="1" hidden="1"/>
  </cols>
  <sheetData>
    <row r="1" spans="1:89" ht="15">
      <c r="A1" s="174"/>
      <c r="B1" s="174"/>
      <c r="C1" s="174"/>
      <c r="D1" s="174"/>
      <c r="E1" s="174"/>
      <c r="F1" s="174"/>
      <c r="G1" s="174"/>
      <c r="H1" s="174"/>
      <c r="I1" s="174"/>
      <c r="J1" s="174"/>
      <c r="K1" s="174"/>
      <c r="L1" s="174"/>
      <c r="M1" s="174"/>
      <c r="N1" s="174"/>
      <c r="O1" s="174"/>
      <c r="P1" s="174"/>
      <c r="Q1" s="174"/>
      <c r="R1" s="174"/>
      <c r="S1" s="174"/>
      <c r="T1" s="174"/>
      <c r="U1" s="174"/>
      <c r="AN1" s="801">
        <f ca="1">TODAY()</f>
        <v>46049</v>
      </c>
      <c r="AO1" s="802"/>
      <c r="AP1" s="802"/>
      <c r="AQ1" s="802"/>
    </row>
    <row r="2" spans="1:89" ht="14.85" customHeight="1">
      <c r="A2" s="175"/>
      <c r="B2" s="175"/>
      <c r="C2" s="175"/>
      <c r="D2" s="175"/>
      <c r="E2" s="175"/>
      <c r="F2" s="175"/>
      <c r="G2" s="175"/>
      <c r="H2" s="175"/>
      <c r="I2" s="175"/>
      <c r="J2" s="175"/>
      <c r="K2" s="175"/>
      <c r="L2" s="175"/>
      <c r="M2" s="175"/>
      <c r="N2" s="175"/>
      <c r="O2" s="175"/>
      <c r="P2" s="175"/>
      <c r="Q2" s="175"/>
      <c r="R2" s="175"/>
      <c r="S2" s="120"/>
      <c r="T2" s="120"/>
      <c r="U2" s="120"/>
      <c r="V2" s="120"/>
      <c r="W2" s="120"/>
      <c r="X2" s="120"/>
      <c r="Y2" s="120"/>
      <c r="Z2" s="120"/>
      <c r="AA2" s="120"/>
      <c r="AB2" s="120"/>
      <c r="AC2" s="120"/>
      <c r="AD2" s="121"/>
      <c r="AE2" s="122"/>
      <c r="AF2" s="120"/>
      <c r="AG2" s="120"/>
      <c r="AH2" s="120"/>
      <c r="AI2" s="120"/>
      <c r="AJ2" s="120"/>
      <c r="AK2" s="120"/>
      <c r="AL2" s="120"/>
      <c r="AM2" s="691"/>
      <c r="AN2" s="692"/>
      <c r="AO2" s="692"/>
      <c r="AP2" s="692"/>
      <c r="AQ2" s="692"/>
      <c r="CJ2" t="s">
        <v>3606</v>
      </c>
      <c r="CK2" t="s">
        <v>3606</v>
      </c>
    </row>
    <row r="3" spans="1:89" ht="14.85" customHeight="1">
      <c r="A3" s="175"/>
      <c r="B3" s="175"/>
      <c r="C3" s="175"/>
      <c r="D3" s="175"/>
      <c r="E3" s="175"/>
      <c r="F3" s="175"/>
      <c r="G3" s="175"/>
      <c r="H3" s="175"/>
      <c r="I3" s="175"/>
      <c r="J3" s="175"/>
      <c r="K3" s="175"/>
      <c r="L3" s="175"/>
      <c r="M3" s="175"/>
      <c r="N3" s="175"/>
      <c r="O3" s="175"/>
      <c r="P3" s="175"/>
      <c r="Q3" s="175"/>
      <c r="R3" s="175"/>
      <c r="S3" s="120"/>
      <c r="T3" s="120"/>
      <c r="U3" s="120"/>
      <c r="V3" s="120"/>
      <c r="W3" s="120"/>
      <c r="X3" s="120"/>
      <c r="Y3" s="120"/>
      <c r="Z3" s="120"/>
      <c r="AA3" s="120"/>
      <c r="AB3" s="120"/>
      <c r="AC3" s="120"/>
      <c r="AD3" s="120"/>
      <c r="AE3" s="120"/>
      <c r="AF3" s="120"/>
      <c r="AG3" s="120"/>
      <c r="AH3" s="120"/>
      <c r="AI3" s="120"/>
      <c r="AJ3" s="120"/>
      <c r="AK3" s="120"/>
      <c r="AL3" s="120"/>
      <c r="AM3" s="691"/>
      <c r="AN3" s="692"/>
      <c r="AO3" s="692"/>
      <c r="AP3" s="692"/>
      <c r="AQ3" s="692"/>
      <c r="CJ3" t="s">
        <v>3607</v>
      </c>
      <c r="CK3" t="s">
        <v>3607</v>
      </c>
    </row>
    <row r="4" spans="1:89" ht="14.85" customHeight="1">
      <c r="W4" s="843">
        <f>SUM(Ram_1!$L$30,Ram_2!$L$30,Ram_3!$L$30,Ram_4!$L$30,Ram_5!$L$30,Ram_6!$L$30)</f>
        <v>0</v>
      </c>
      <c r="X4" s="843"/>
      <c r="Y4" s="843"/>
      <c r="Z4" s="843"/>
      <c r="AA4" s="843"/>
      <c r="AB4" s="843"/>
      <c r="AC4" s="843"/>
      <c r="AD4" s="843"/>
      <c r="AE4" s="852" t="str">
        <f>VLOOKUP('Translate&amp;Prices&amp;Logo'!D1,kombinace_1!$EV$1:$EW$5,2,0)</f>
        <v>€</v>
      </c>
      <c r="AF4" s="289"/>
      <c r="AG4" s="289"/>
      <c r="AH4" s="289"/>
      <c r="AI4" s="289"/>
      <c r="AJ4" s="289"/>
      <c r="AK4" s="289"/>
      <c r="AL4" s="289"/>
      <c r="AM4" s="290"/>
      <c r="AN4" s="289"/>
      <c r="AO4" s="289"/>
      <c r="AP4" s="289"/>
      <c r="CJ4" t="s">
        <v>2300</v>
      </c>
      <c r="CK4" t="s">
        <v>4320</v>
      </c>
    </row>
    <row r="5" spans="1:89" ht="14.85" customHeight="1">
      <c r="P5" s="139"/>
      <c r="Q5" s="139"/>
      <c r="R5" s="139"/>
      <c r="S5" s="139"/>
      <c r="T5" s="139"/>
      <c r="U5" s="139"/>
      <c r="V5" s="139"/>
      <c r="W5" s="843"/>
      <c r="X5" s="843"/>
      <c r="Y5" s="843"/>
      <c r="Z5" s="843"/>
      <c r="AA5" s="843"/>
      <c r="AB5" s="843"/>
      <c r="AC5" s="843"/>
      <c r="AD5" s="843"/>
      <c r="AE5" s="852"/>
      <c r="AF5" s="289"/>
      <c r="AG5" s="289"/>
      <c r="AH5" s="139"/>
      <c r="AI5" s="139"/>
      <c r="AK5" s="158"/>
      <c r="AL5" s="158"/>
      <c r="AM5" s="158"/>
      <c r="AN5" s="158"/>
      <c r="CJ5" t="s">
        <v>2305</v>
      </c>
      <c r="CK5" t="s">
        <v>4115</v>
      </c>
    </row>
    <row r="6" spans="1:89" ht="14.85" customHeight="1">
      <c r="K6" s="158"/>
      <c r="L6" s="158"/>
      <c r="M6" s="158"/>
      <c r="N6" s="158"/>
      <c r="P6" s="139"/>
      <c r="Q6" s="139"/>
      <c r="R6" s="139"/>
      <c r="S6" s="139"/>
      <c r="T6" s="139"/>
      <c r="U6" s="139"/>
      <c r="V6" s="139"/>
      <c r="X6" s="158"/>
      <c r="Y6" s="158"/>
      <c r="Z6" s="158"/>
      <c r="AA6" s="158"/>
      <c r="AC6" s="139"/>
      <c r="AD6" s="139"/>
      <c r="AE6" s="139"/>
      <c r="AF6" s="139"/>
      <c r="AG6" s="139"/>
      <c r="AH6" s="139"/>
      <c r="AI6" s="139"/>
      <c r="AK6" s="274"/>
      <c r="AL6" s="275"/>
      <c r="AM6" s="275"/>
      <c r="AN6" s="275"/>
      <c r="CJ6" t="s">
        <v>3545</v>
      </c>
      <c r="CK6" t="s">
        <v>3545</v>
      </c>
    </row>
    <row r="7" spans="1:89" ht="14.85" customHeight="1">
      <c r="K7" s="158"/>
      <c r="L7" s="158"/>
      <c r="M7" s="158"/>
      <c r="N7" s="158"/>
      <c r="P7" s="139"/>
      <c r="Q7" s="139"/>
      <c r="R7" s="139"/>
      <c r="S7" s="139"/>
      <c r="T7" s="139"/>
      <c r="U7" s="139"/>
      <c r="V7" s="139"/>
      <c r="X7" s="158"/>
      <c r="Y7" s="158"/>
      <c r="Z7" s="158"/>
      <c r="AA7" s="158"/>
      <c r="AC7" s="139"/>
      <c r="AD7" s="139"/>
      <c r="AE7" s="139"/>
      <c r="AF7" s="139"/>
      <c r="AG7" s="139"/>
      <c r="AH7" s="139"/>
      <c r="AI7" s="139"/>
      <c r="AK7" s="275"/>
      <c r="AL7" s="275"/>
      <c r="AM7" s="275"/>
      <c r="AN7" s="275"/>
      <c r="CJ7" t="s">
        <v>3546</v>
      </c>
      <c r="CK7" t="s">
        <v>3546</v>
      </c>
    </row>
    <row r="8" spans="1:89" ht="13.35" customHeight="1" thickBot="1">
      <c r="CJ8" t="s">
        <v>2019</v>
      </c>
      <c r="CK8" t="s">
        <v>3572</v>
      </c>
    </row>
    <row r="9" spans="1:89" ht="35.1" customHeight="1" thickBot="1">
      <c r="I9" s="273"/>
      <c r="J9" s="273"/>
      <c r="K9" s="273"/>
      <c r="L9" s="273"/>
      <c r="M9" s="273"/>
      <c r="N9" s="273"/>
      <c r="O9" s="273"/>
      <c r="P9" s="273"/>
      <c r="Q9" s="273"/>
      <c r="R9" s="273"/>
      <c r="S9" s="273"/>
      <c r="T9" s="273"/>
      <c r="U9" s="273"/>
      <c r="V9" s="840" t="str">
        <f>'Translate&amp;Prices&amp;Logo'!$O$256</f>
        <v>Numer zamówienia</v>
      </c>
      <c r="W9" s="840"/>
      <c r="X9" s="840"/>
      <c r="Y9" s="840"/>
      <c r="Z9" s="840"/>
      <c r="AA9" s="207"/>
      <c r="AB9" s="837"/>
      <c r="AC9" s="838"/>
      <c r="AD9" s="838"/>
      <c r="AE9" s="838"/>
      <c r="AF9" s="838"/>
      <c r="AG9" s="838"/>
      <c r="AH9" s="838"/>
      <c r="AI9" s="838"/>
      <c r="AJ9" s="838"/>
      <c r="AK9" s="838"/>
      <c r="AL9" s="838"/>
      <c r="AM9" s="838"/>
      <c r="AN9" s="839"/>
      <c r="AQ9" s="847" t="s">
        <v>2574</v>
      </c>
      <c r="CJ9" t="s">
        <v>2027</v>
      </c>
      <c r="CK9" t="s">
        <v>3575</v>
      </c>
    </row>
    <row r="10" spans="1:89" ht="16.350000000000001" customHeight="1">
      <c r="V10" s="825" t="str">
        <f>'Translate&amp;Prices&amp;Logo'!$O$542</f>
        <v>Połączenie 2 profili</v>
      </c>
      <c r="W10" s="825"/>
      <c r="X10" s="825"/>
      <c r="Y10" s="825"/>
      <c r="Z10" s="825"/>
      <c r="AA10" s="207"/>
      <c r="AB10" s="848" t="str">
        <f>IF(kombinace_1!$H$1=TRUE,"Tak","Nie")</f>
        <v>Nie</v>
      </c>
      <c r="AC10" s="848"/>
      <c r="AD10" s="848"/>
      <c r="AE10" s="848"/>
      <c r="AF10" s="848"/>
      <c r="AG10" s="848"/>
      <c r="AH10" s="848"/>
      <c r="AI10" s="848"/>
      <c r="AJ10" s="848"/>
      <c r="AK10" s="848"/>
      <c r="AL10" s="848"/>
      <c r="AM10" s="848"/>
      <c r="AN10" s="848"/>
      <c r="AQ10" s="847"/>
      <c r="CJ10" t="s">
        <v>2033</v>
      </c>
      <c r="CK10" t="s">
        <v>2033</v>
      </c>
    </row>
    <row r="11" spans="1:89" ht="16.350000000000001" customHeight="1">
      <c r="V11" s="825" t="str">
        <f>'Translate&amp;Prices&amp;Logo'!$O$172</f>
        <v>Rodzaj profilu</v>
      </c>
      <c r="W11" s="825"/>
      <c r="X11" s="825"/>
      <c r="Y11" s="825"/>
      <c r="Z11" s="825"/>
      <c r="AA11" s="207"/>
      <c r="AB11" s="824">
        <f>IFERROR(VLOOKUP(Ram_1!$H$8,'Translate&amp;Prices&amp;Logo'!AA:AB,2,0),Ram_1!$H$8)</f>
        <v>0</v>
      </c>
      <c r="AC11" s="824"/>
      <c r="AD11" s="824"/>
      <c r="AE11" s="824"/>
      <c r="AF11" s="824"/>
      <c r="AG11" s="824"/>
      <c r="AH11" s="824"/>
      <c r="AI11" s="824"/>
      <c r="AJ11" s="824"/>
      <c r="AK11" s="824"/>
      <c r="AL11" s="824"/>
      <c r="AM11" s="824"/>
      <c r="AN11" s="824"/>
      <c r="AQ11" s="847"/>
      <c r="CJ11" t="s">
        <v>2299</v>
      </c>
      <c r="CK11" t="s">
        <v>4113</v>
      </c>
    </row>
    <row r="12" spans="1:89" ht="16.350000000000001" customHeight="1">
      <c r="V12" s="825" t="str">
        <f>'Translate&amp;Prices&amp;Logo'!$O$543</f>
        <v>Szprosy</v>
      </c>
      <c r="W12" s="825"/>
      <c r="X12" s="825"/>
      <c r="Y12" s="825"/>
      <c r="Z12" s="825"/>
      <c r="AA12" s="207"/>
      <c r="AB12" s="824" t="str">
        <f t="array" ref="AB12">IFERROR(VLOOKUP(Ram_1!$AU$10,AT12:AU15,2,0),Nie)</f>
        <v>Nie</v>
      </c>
      <c r="AC12" s="824"/>
      <c r="AD12" s="824"/>
      <c r="AE12" s="824"/>
      <c r="AF12" s="824"/>
      <c r="AG12" s="824"/>
      <c r="AH12" s="824"/>
      <c r="AI12" s="824"/>
      <c r="AJ12" s="824"/>
      <c r="AK12" s="824"/>
      <c r="AL12" s="824"/>
      <c r="AM12" s="824"/>
      <c r="AN12" s="824"/>
      <c r="AQ12" s="847"/>
      <c r="AT12">
        <v>0</v>
      </c>
      <c r="AU12" t="str">
        <f>'Translate&amp;Prices&amp;Logo'!$O$557</f>
        <v>Nie</v>
      </c>
      <c r="AY12">
        <v>2</v>
      </c>
      <c r="AZ12" t="str">
        <f>'Translate&amp;Prices&amp;Logo'!$O$551</f>
        <v>Zawiasy</v>
      </c>
      <c r="BC12" s="1" t="s">
        <v>98</v>
      </c>
      <c r="BD12" s="1" t="s">
        <v>452</v>
      </c>
      <c r="BH12" s="1" t="s">
        <v>75</v>
      </c>
      <c r="BI12" s="1" t="s">
        <v>446</v>
      </c>
      <c r="BL12" s="1" t="s">
        <v>215</v>
      </c>
      <c r="BM12" s="1" t="s">
        <v>486</v>
      </c>
      <c r="BR12" s="1" t="s">
        <v>221</v>
      </c>
      <c r="BS12" s="1" t="s">
        <v>2086</v>
      </c>
      <c r="BW12" s="1">
        <v>1</v>
      </c>
      <c r="BX12" s="1" t="str">
        <f>'Translate&amp;Prices&amp;Logo'!$O$100</f>
        <v>Bez modyfikacji</v>
      </c>
      <c r="BZ12" t="s">
        <v>1886</v>
      </c>
      <c r="CA12" t="s">
        <v>2286</v>
      </c>
      <c r="CJ12" t="s">
        <v>2304</v>
      </c>
      <c r="CK12" t="s">
        <v>4114</v>
      </c>
    </row>
    <row r="13" spans="1:89" ht="16.350000000000001" customHeight="1">
      <c r="V13" s="278"/>
      <c r="W13" s="278"/>
      <c r="X13" s="278"/>
      <c r="Y13" s="278"/>
      <c r="Z13" s="278"/>
      <c r="AA13" s="207"/>
      <c r="AB13" s="849" t="b">
        <f>IF(OR(Ram_1!$AU$10=1,Ram_1!$AU$10=3),'Translate&amp;Prices&amp;Logo'!O558)</f>
        <v>0</v>
      </c>
      <c r="AC13" s="849"/>
      <c r="AD13" s="849"/>
      <c r="AE13" s="849"/>
      <c r="AF13" s="849"/>
      <c r="AG13" s="849"/>
      <c r="AH13" s="849"/>
      <c r="AI13" s="849" t="b">
        <f>IF(OR(Ram_1!$AU$10=2,Ram_1!$AU$10=3),'Translate&amp;Prices&amp;Logo'!O559)</f>
        <v>0</v>
      </c>
      <c r="AJ13" s="849"/>
      <c r="AK13" s="849"/>
      <c r="AL13" s="849"/>
      <c r="AM13" s="849"/>
      <c r="AN13" s="849"/>
      <c r="AQ13" s="847"/>
      <c r="AT13">
        <v>1</v>
      </c>
      <c r="AU13" t="str">
        <f>'Translate&amp;Prices&amp;Logo'!$O$558</f>
        <v>Poziomo (termin dostawy 4 tygodnie)</v>
      </c>
      <c r="AY13">
        <v>3</v>
      </c>
      <c r="AZ13" t="str">
        <f>'Translate&amp;Prices&amp;Logo'!$O$552</f>
        <v>Podnośniki</v>
      </c>
      <c r="BC13" s="1" t="s">
        <v>99</v>
      </c>
      <c r="BD13" s="1" t="s">
        <v>453</v>
      </c>
      <c r="BH13" s="1" t="s">
        <v>74</v>
      </c>
      <c r="BI13" s="1" t="s">
        <v>447</v>
      </c>
      <c r="BL13" s="1" t="s">
        <v>216</v>
      </c>
      <c r="BM13" s="1" t="s">
        <v>487</v>
      </c>
      <c r="BR13" s="1" t="s">
        <v>222</v>
      </c>
      <c r="BS13" s="1" t="s">
        <v>2271</v>
      </c>
      <c r="BW13" s="1">
        <v>2</v>
      </c>
      <c r="BX13" s="1" t="str">
        <f>'Translate&amp;Prices&amp;Logo'!$O$101</f>
        <v>Hartowane</v>
      </c>
      <c r="BZ13" t="s">
        <v>1889</v>
      </c>
      <c r="CA13" t="s">
        <v>2287</v>
      </c>
      <c r="CJ13" t="s">
        <v>2020</v>
      </c>
      <c r="CK13" t="s">
        <v>4012</v>
      </c>
    </row>
    <row r="14" spans="1:89" ht="16.350000000000001" customHeight="1">
      <c r="V14" s="825" t="str">
        <f>('Translate&amp;Prices&amp;Logo'!$O$543)&amp;" "&amp;"("&amp;'Translate&amp;Prices&amp;Logo'!$O$174&amp;")"</f>
        <v>Szprosy (Ilość sztuk)</v>
      </c>
      <c r="W14" s="825"/>
      <c r="X14" s="825"/>
      <c r="Y14" s="825"/>
      <c r="Z14" s="825"/>
      <c r="AA14" s="207"/>
      <c r="AB14" s="824">
        <f>Ram_1!$H$11</f>
        <v>0</v>
      </c>
      <c r="AC14" s="824"/>
      <c r="AD14" s="824"/>
      <c r="AE14" s="824"/>
      <c r="AF14" s="824"/>
      <c r="AG14" s="824"/>
      <c r="AH14" s="824"/>
      <c r="AI14" s="824">
        <f>Ram_1!$M$11</f>
        <v>0</v>
      </c>
      <c r="AJ14" s="824"/>
      <c r="AK14" s="824"/>
      <c r="AL14" s="824"/>
      <c r="AM14" s="824"/>
      <c r="AN14" s="824"/>
      <c r="AQ14" s="847"/>
      <c r="AT14">
        <v>2</v>
      </c>
      <c r="AU14" t="str">
        <f>'Translate&amp;Prices&amp;Logo'!$O$559</f>
        <v>Pionowo (termin dostawy 4 tygodnie)</v>
      </c>
      <c r="BC14" s="1" t="s">
        <v>100</v>
      </c>
      <c r="BD14" s="1" t="s">
        <v>2101</v>
      </c>
      <c r="BH14" s="1" t="s">
        <v>387</v>
      </c>
      <c r="BI14" s="1" t="s">
        <v>446</v>
      </c>
      <c r="BL14" s="1" t="s">
        <v>218</v>
      </c>
      <c r="BM14" s="1" t="s">
        <v>488</v>
      </c>
      <c r="BR14" s="1" t="s">
        <v>212</v>
      </c>
      <c r="BS14" s="1" t="s">
        <v>483</v>
      </c>
      <c r="BW14" s="1">
        <v>3</v>
      </c>
      <c r="BX14" s="1" t="str">
        <f>'Translate&amp;Prices&amp;Logo'!$O$102</f>
        <v>Folia</v>
      </c>
      <c r="BZ14" t="s">
        <v>1892</v>
      </c>
      <c r="CA14" t="s">
        <v>2288</v>
      </c>
      <c r="CJ14" t="s">
        <v>2028</v>
      </c>
      <c r="CK14" t="s">
        <v>4013</v>
      </c>
    </row>
    <row r="15" spans="1:89" ht="16.350000000000001" customHeight="1">
      <c r="V15" s="825" t="str">
        <f>'Translate&amp;Prices&amp;Logo'!$O$258</f>
        <v>Typ okucia</v>
      </c>
      <c r="W15" s="825"/>
      <c r="X15" s="825"/>
      <c r="Y15" s="825"/>
      <c r="Z15" s="825"/>
      <c r="AA15" s="207"/>
      <c r="AB15" s="824">
        <f>IFERROR(VLOOKUP(Ram_1!$AU$9,AY12:AZ13,2,0),0)</f>
        <v>0</v>
      </c>
      <c r="AC15" s="824"/>
      <c r="AD15" s="824"/>
      <c r="AE15" s="824"/>
      <c r="AF15" s="824"/>
      <c r="AG15" s="824"/>
      <c r="AH15" s="824"/>
      <c r="AI15" s="824"/>
      <c r="AJ15" s="824"/>
      <c r="AK15" s="824"/>
      <c r="AL15" s="824"/>
      <c r="AM15" s="824"/>
      <c r="AN15" s="824"/>
      <c r="AQ15" s="847"/>
      <c r="AT15">
        <v>3</v>
      </c>
      <c r="AU15" t="str">
        <f>'Translate&amp;Prices&amp;Logo'!$O$560</f>
        <v>Poziomo i pionowo (termin dostawy 4 tygodnie)</v>
      </c>
      <c r="BC15" s="1" t="s">
        <v>98</v>
      </c>
      <c r="BD15" s="1" t="s">
        <v>452</v>
      </c>
      <c r="BH15" s="1" t="s">
        <v>388</v>
      </c>
      <c r="BI15" s="1" t="s">
        <v>447</v>
      </c>
      <c r="BL15" s="1" t="s">
        <v>217</v>
      </c>
      <c r="BM15" s="1" t="s">
        <v>489</v>
      </c>
      <c r="BR15" s="1" t="s">
        <v>211</v>
      </c>
      <c r="BS15" s="1" t="s">
        <v>484</v>
      </c>
      <c r="BZ15" t="s">
        <v>2175</v>
      </c>
      <c r="CA15" t="s">
        <v>2286</v>
      </c>
      <c r="CJ15" t="s">
        <v>2021</v>
      </c>
      <c r="CK15" t="s">
        <v>3573</v>
      </c>
    </row>
    <row r="16" spans="1:89" ht="16.350000000000001" customHeight="1">
      <c r="V16" s="825" t="str">
        <f>'Translate&amp;Prices&amp;Logo'!$O$544</f>
        <v>Marka okucia</v>
      </c>
      <c r="W16" s="825"/>
      <c r="X16" s="825"/>
      <c r="Y16" s="825"/>
      <c r="Z16" s="825"/>
      <c r="AA16" s="207"/>
      <c r="AB16" s="824">
        <f>Ram_1!$H$13</f>
        <v>0</v>
      </c>
      <c r="AC16" s="824"/>
      <c r="AD16" s="824"/>
      <c r="AE16" s="824"/>
      <c r="AF16" s="824"/>
      <c r="AG16" s="824"/>
      <c r="AH16" s="824"/>
      <c r="AI16" s="824"/>
      <c r="AJ16" s="824"/>
      <c r="AK16" s="824"/>
      <c r="AL16" s="824"/>
      <c r="AM16" s="824"/>
      <c r="AN16" s="824"/>
      <c r="AQ16" s="847"/>
      <c r="BC16" s="1" t="s">
        <v>99</v>
      </c>
      <c r="BD16" s="1" t="s">
        <v>453</v>
      </c>
      <c r="BH16" s="1" t="s">
        <v>705</v>
      </c>
      <c r="BI16" s="1" t="s">
        <v>446</v>
      </c>
      <c r="BL16" s="1" t="s">
        <v>219</v>
      </c>
      <c r="BM16" s="1" t="s">
        <v>2272</v>
      </c>
      <c r="BR16" s="1" t="s">
        <v>2088</v>
      </c>
      <c r="BS16" s="1" t="s">
        <v>2086</v>
      </c>
      <c r="BZ16" t="s">
        <v>2176</v>
      </c>
      <c r="CA16" t="s">
        <v>2287</v>
      </c>
      <c r="CJ16" t="s">
        <v>2000</v>
      </c>
      <c r="CK16" t="s">
        <v>2000</v>
      </c>
    </row>
    <row r="17" spans="18:89" ht="16.350000000000001" customHeight="1" thickBot="1">
      <c r="V17" s="825" t="str">
        <f>'Translate&amp;Prices&amp;Logo'!$O$546</f>
        <v>Nałożenie</v>
      </c>
      <c r="W17" s="825"/>
      <c r="X17" s="825"/>
      <c r="Y17" s="825"/>
      <c r="Z17" s="825"/>
      <c r="AA17" s="207"/>
      <c r="AB17" s="824">
        <f>IFERROR(VLOOKUP(Ram_1!$H$14,BC12:BD26,2,0),0)</f>
        <v>0</v>
      </c>
      <c r="AC17" s="824"/>
      <c r="AD17" s="824"/>
      <c r="AE17" s="824"/>
      <c r="AF17" s="824"/>
      <c r="AG17" s="824"/>
      <c r="AH17" s="824"/>
      <c r="AI17" s="824"/>
      <c r="AJ17" s="824"/>
      <c r="AK17" s="824"/>
      <c r="AL17" s="824"/>
      <c r="AM17" s="824"/>
      <c r="AN17" s="824"/>
      <c r="AQ17" s="847"/>
      <c r="BC17" s="1" t="s">
        <v>100</v>
      </c>
      <c r="BD17" s="1" t="s">
        <v>2101</v>
      </c>
      <c r="BH17" s="1" t="s">
        <v>523</v>
      </c>
      <c r="BI17" s="1" t="s">
        <v>447</v>
      </c>
      <c r="BL17" s="1" t="s">
        <v>421</v>
      </c>
      <c r="BM17" s="1" t="s">
        <v>486</v>
      </c>
      <c r="BR17" s="1" t="s">
        <v>222</v>
      </c>
      <c r="BS17" s="1" t="s">
        <v>2271</v>
      </c>
      <c r="BZ17" t="s">
        <v>2177</v>
      </c>
      <c r="CA17" t="s">
        <v>2288</v>
      </c>
      <c r="CJ17" t="s">
        <v>2010</v>
      </c>
      <c r="CK17" t="s">
        <v>2010</v>
      </c>
    </row>
    <row r="18" spans="18:89" ht="16.350000000000001" customHeight="1">
      <c r="R18" s="822">
        <f>Ram_1!AR14</f>
        <v>0</v>
      </c>
      <c r="V18" s="825" t="str">
        <f>'Translate&amp;Prices&amp;Logo'!$O$545</f>
        <v>Wariant okucia</v>
      </c>
      <c r="W18" s="825"/>
      <c r="X18" s="825"/>
      <c r="Y18" s="825"/>
      <c r="Z18" s="825"/>
      <c r="AA18" s="207"/>
      <c r="AB18" s="841">
        <f>IFERROR(VLOOKUP(Ram_1!$H$15,kombinace_1!$ED:$EE,2,0),Ram_1!$H$15)</f>
        <v>0</v>
      </c>
      <c r="AC18" s="841"/>
      <c r="AD18" s="841"/>
      <c r="AE18" s="841"/>
      <c r="AF18" s="841"/>
      <c r="AG18" s="841"/>
      <c r="AH18" s="841"/>
      <c r="AI18" s="399" t="str">
        <f>IF(AB18='Translate&amp;Prices&amp;Logo'!C698,VLOOKUP(Ram_1!H17,'Translate&amp;Prices&amp;Logo'!C699:D718,2,0),"")</f>
        <v/>
      </c>
      <c r="AJ18" s="399"/>
      <c r="AK18" s="399"/>
      <c r="AL18" s="399"/>
      <c r="AM18" s="399"/>
      <c r="AN18" s="399"/>
      <c r="AQ18" s="847"/>
      <c r="BC18" s="1" t="s">
        <v>452</v>
      </c>
      <c r="BD18" s="1" t="s">
        <v>452</v>
      </c>
      <c r="BH18" s="1" t="s">
        <v>2315</v>
      </c>
      <c r="BI18" s="1" t="s">
        <v>446</v>
      </c>
      <c r="BL18" s="1" t="s">
        <v>422</v>
      </c>
      <c r="BM18" s="1" t="s">
        <v>487</v>
      </c>
      <c r="BR18" s="1" t="s">
        <v>417</v>
      </c>
      <c r="BS18" s="1" t="s">
        <v>483</v>
      </c>
      <c r="BZ18" t="s">
        <v>2286</v>
      </c>
      <c r="CA18" t="s">
        <v>2286</v>
      </c>
      <c r="CJ18" t="s">
        <v>2029</v>
      </c>
      <c r="CK18" t="s">
        <v>3576</v>
      </c>
    </row>
    <row r="19" spans="18:89" ht="16.350000000000001" customHeight="1">
      <c r="R19" s="823">
        <f>Ram_1!AR15</f>
        <v>0</v>
      </c>
      <c r="V19" s="825" t="str">
        <f>'Translate&amp;Prices&amp;Logo'!$O$218</f>
        <v>Wybierz pozycję ramki</v>
      </c>
      <c r="W19" s="825"/>
      <c r="X19" s="825"/>
      <c r="Y19" s="825"/>
      <c r="Z19" s="825"/>
      <c r="AA19" s="824">
        <f>IFERROR(VLOOKUP(Ram_1!$F$16,BH12:BI21,2,0),0)</f>
        <v>0</v>
      </c>
      <c r="AB19" s="824"/>
      <c r="AC19" s="824"/>
      <c r="AD19" s="824"/>
      <c r="AE19" s="824"/>
      <c r="AF19" s="825" t="str">
        <f>'Translate&amp;Prices&amp;Logo'!$O$232</f>
        <v>Rodzaj drugiej ramki</v>
      </c>
      <c r="AG19" s="825"/>
      <c r="AH19" s="825"/>
      <c r="AI19" s="825"/>
      <c r="AJ19" s="825"/>
      <c r="AK19" s="824">
        <f>IFERROR(VLOOKUP(Ram_1!$N$16,BL12:BM36,2,0),0)</f>
        <v>0</v>
      </c>
      <c r="AL19" s="824"/>
      <c r="AM19" s="824"/>
      <c r="AN19" s="824"/>
      <c r="AQ19" s="847"/>
      <c r="BC19" s="1" t="s">
        <v>453</v>
      </c>
      <c r="BD19" s="1" t="s">
        <v>453</v>
      </c>
      <c r="BH19" s="1" t="s">
        <v>2316</v>
      </c>
      <c r="BI19" s="1" t="s">
        <v>447</v>
      </c>
      <c r="BL19" s="1" t="s">
        <v>423</v>
      </c>
      <c r="BM19" s="1" t="s">
        <v>488</v>
      </c>
      <c r="BR19" s="1" t="s">
        <v>418</v>
      </c>
      <c r="BS19" s="1" t="s">
        <v>484</v>
      </c>
      <c r="BZ19" t="s">
        <v>2287</v>
      </c>
      <c r="CA19" t="s">
        <v>2287</v>
      </c>
      <c r="CJ19" t="s">
        <v>2024</v>
      </c>
      <c r="CK19" t="s">
        <v>3574</v>
      </c>
    </row>
    <row r="20" spans="18:89" ht="16.350000000000001" customHeight="1">
      <c r="R20" s="823">
        <f>Ram_1!AR16</f>
        <v>0</v>
      </c>
      <c r="V20" s="825" t="str">
        <f>IF(AB15='Translate&amp;Prices&amp;Logo'!O551,'Translate&amp;Prices&amp;Logo'!O238,'Translate&amp;Prices&amp;Logo'!$O$226)</f>
        <v>Umieszczenie</v>
      </c>
      <c r="W20" s="825"/>
      <c r="X20" s="825"/>
      <c r="Y20" s="825"/>
      <c r="Z20" s="825"/>
      <c r="AA20" s="207"/>
      <c r="AB20" s="851" t="str">
        <f>IFERROR((IF(Ram_1!H12='Translate&amp;Prices&amp;Logo'!B552,VLOOKUP(Ram_1!$N$16,BR48:BS67,2,0),VLOOKUP(Ram_1!$H$17,BR48:BS67,2,0))),"")</f>
        <v/>
      </c>
      <c r="AC20" s="851"/>
      <c r="AD20" s="851"/>
      <c r="AE20" s="851"/>
      <c r="AF20" s="851"/>
      <c r="AG20" s="851"/>
      <c r="AH20" s="851"/>
      <c r="AI20" s="845"/>
      <c r="AJ20" s="845"/>
      <c r="AK20" s="845"/>
      <c r="AL20" s="845"/>
      <c r="AM20" s="845"/>
      <c r="AN20" s="845"/>
      <c r="AQ20" s="847"/>
      <c r="BC20" s="1" t="s">
        <v>2101</v>
      </c>
      <c r="BD20" s="1" t="s">
        <v>2101</v>
      </c>
      <c r="BH20" s="1" t="s">
        <v>446</v>
      </c>
      <c r="BI20" s="1" t="s">
        <v>446</v>
      </c>
      <c r="BL20" s="1" t="s">
        <v>424</v>
      </c>
      <c r="BM20" s="1" t="s">
        <v>489</v>
      </c>
      <c r="BR20" s="1" t="s">
        <v>2086</v>
      </c>
      <c r="BS20" s="1" t="s">
        <v>2086</v>
      </c>
      <c r="BZ20" t="s">
        <v>2288</v>
      </c>
      <c r="CA20" t="s">
        <v>2288</v>
      </c>
      <c r="CJ20" t="s">
        <v>2003</v>
      </c>
      <c r="CK20" t="s">
        <v>2003</v>
      </c>
    </row>
    <row r="21" spans="18:89" ht="16.350000000000001" customHeight="1">
      <c r="R21" s="823">
        <f>Ram_1!AR17</f>
        <v>0</v>
      </c>
      <c r="V21" s="825" t="str">
        <f>'Translate&amp;Prices&amp;Logo'!$O$547</f>
        <v>Zawiasy do podnośników</v>
      </c>
      <c r="W21" s="825"/>
      <c r="X21" s="825"/>
      <c r="Y21" s="825"/>
      <c r="Z21" s="825"/>
      <c r="AA21" s="207"/>
      <c r="AB21" s="824" t="str">
        <f>IFERROR((VLOOKUP(Ram_1!$H$18,CJ:CK,2,0)),"")</f>
        <v/>
      </c>
      <c r="AC21" s="824"/>
      <c r="AD21" s="824"/>
      <c r="AE21" s="824"/>
      <c r="AF21" s="824"/>
      <c r="AG21" s="824"/>
      <c r="AH21" s="824"/>
      <c r="AI21" s="824"/>
      <c r="AJ21" s="824"/>
      <c r="AK21" s="824"/>
      <c r="AL21" s="824"/>
      <c r="AM21" s="824"/>
      <c r="AN21" s="824"/>
      <c r="AQ21" s="847"/>
      <c r="BC21" s="1" t="s">
        <v>528</v>
      </c>
      <c r="BD21" s="1" t="s">
        <v>452</v>
      </c>
      <c r="BH21" s="1" t="s">
        <v>447</v>
      </c>
      <c r="BI21" s="1" t="s">
        <v>447</v>
      </c>
      <c r="BL21" s="1" t="s">
        <v>425</v>
      </c>
      <c r="BM21" s="1" t="s">
        <v>2272</v>
      </c>
      <c r="BR21" s="1" t="s">
        <v>2271</v>
      </c>
      <c r="BS21" s="1" t="s">
        <v>2271</v>
      </c>
      <c r="BZ21" t="s">
        <v>2178</v>
      </c>
      <c r="CA21" t="s">
        <v>2286</v>
      </c>
      <c r="CJ21" t="s">
        <v>2030</v>
      </c>
      <c r="CK21" t="s">
        <v>4014</v>
      </c>
    </row>
    <row r="22" spans="18:89" ht="16.350000000000001" customHeight="1">
      <c r="R22" s="823">
        <f>Ram_1!AR18</f>
        <v>0</v>
      </c>
      <c r="V22" s="825" t="str">
        <f>'Translate&amp;Prices&amp;Logo'!$O$223</f>
        <v>Ilość zawiasów na 1 ramkę</v>
      </c>
      <c r="W22" s="825"/>
      <c r="X22" s="825"/>
      <c r="Y22" s="825"/>
      <c r="Z22" s="825"/>
      <c r="AA22" s="207"/>
      <c r="AB22" s="824">
        <f>Ram_1!$H$19</f>
        <v>0</v>
      </c>
      <c r="AC22" s="824"/>
      <c r="AD22" s="824"/>
      <c r="AE22" s="824"/>
      <c r="AF22" s="824"/>
      <c r="AG22" s="824"/>
      <c r="AH22" s="824"/>
      <c r="AI22" s="824"/>
      <c r="AJ22" s="824"/>
      <c r="AK22" s="824"/>
      <c r="AL22" s="824"/>
      <c r="AM22" s="824"/>
      <c r="AN22" s="824"/>
      <c r="AQ22" s="847"/>
      <c r="BC22" s="1" t="s">
        <v>529</v>
      </c>
      <c r="BD22" s="1" t="s">
        <v>453</v>
      </c>
      <c r="BL22" s="1" t="s">
        <v>486</v>
      </c>
      <c r="BM22" s="1" t="s">
        <v>486</v>
      </c>
      <c r="BR22" s="1" t="s">
        <v>483</v>
      </c>
      <c r="BS22" s="1" t="s">
        <v>483</v>
      </c>
      <c r="BZ22" t="s">
        <v>2261</v>
      </c>
      <c r="CA22" t="s">
        <v>2287</v>
      </c>
      <c r="CJ22" t="s">
        <v>2031</v>
      </c>
      <c r="CK22" t="s">
        <v>3577</v>
      </c>
    </row>
    <row r="23" spans="18:89" ht="16.350000000000001" customHeight="1">
      <c r="R23" s="820" t="str">
        <f>'Translate&amp;Prices&amp;Logo'!$O$176</f>
        <v>Wysokość</v>
      </c>
      <c r="V23" s="825" t="str">
        <f>IFERROR(('Translate&amp;Prices&amp;Logo'!$O$242&amp;" "&amp;VLOOKUP(Ram_1!H17,kombinace_1!BY32:CD35,5,0)),"")</f>
        <v/>
      </c>
      <c r="W23" s="825"/>
      <c r="X23" s="825"/>
      <c r="Y23" s="825"/>
      <c r="Z23" s="825"/>
      <c r="AA23" s="824">
        <f>Ram_1!$F$20</f>
        <v>100</v>
      </c>
      <c r="AB23" s="824"/>
      <c r="AC23" s="824"/>
      <c r="AD23" s="824"/>
      <c r="AE23" s="824"/>
      <c r="AF23" s="825" t="str">
        <f>IFERROR(('Translate&amp;Prices&amp;Logo'!$O$242&amp;" "&amp;VLOOKUP(Ram_1!H17,kombinace_1!$BY$32:$CD$35,6,0)),"")</f>
        <v/>
      </c>
      <c r="AG23" s="825"/>
      <c r="AH23" s="825"/>
      <c r="AI23" s="825"/>
      <c r="AJ23" s="825"/>
      <c r="AK23" s="824">
        <f>Ram_1!$N$20</f>
        <v>100</v>
      </c>
      <c r="AL23" s="824"/>
      <c r="AM23" s="824"/>
      <c r="AN23" s="824"/>
      <c r="AQ23" s="847"/>
      <c r="BC23" s="1" t="s">
        <v>530</v>
      </c>
      <c r="BD23" s="1" t="s">
        <v>2101</v>
      </c>
      <c r="BL23" s="1" t="s">
        <v>487</v>
      </c>
      <c r="BM23" s="1" t="s">
        <v>487</v>
      </c>
      <c r="BR23" s="1" t="s">
        <v>484</v>
      </c>
      <c r="BS23" s="1" t="s">
        <v>484</v>
      </c>
      <c r="BZ23" t="s">
        <v>2179</v>
      </c>
      <c r="CA23" t="s">
        <v>2288</v>
      </c>
      <c r="CJ23" t="s">
        <v>2302</v>
      </c>
      <c r="CK23" t="s">
        <v>4116</v>
      </c>
    </row>
    <row r="24" spans="18:89" ht="16.350000000000001" customHeight="1">
      <c r="R24" s="820">
        <f>Ram_1!AR20</f>
        <v>0</v>
      </c>
      <c r="V24" s="825" t="str">
        <f>'Translate&amp;Prices&amp;Logo'!$O$653</f>
        <v>Wypełnienie z siatki</v>
      </c>
      <c r="W24" s="825"/>
      <c r="X24" s="825"/>
      <c r="Y24" s="825"/>
      <c r="Z24" s="825"/>
      <c r="AA24" s="207"/>
      <c r="AB24" s="826" t="str">
        <f>IF(kombinace_1!FC2=TRUE,"Tak","Nie")</f>
        <v>Nie</v>
      </c>
      <c r="AC24" s="826"/>
      <c r="AD24" s="826"/>
      <c r="AE24" s="826"/>
      <c r="AF24" s="826"/>
      <c r="AG24" s="826"/>
      <c r="AH24" s="826"/>
      <c r="AI24" s="826"/>
      <c r="AJ24" s="826"/>
      <c r="AK24" s="826"/>
      <c r="AL24" s="826"/>
      <c r="AM24" s="826"/>
      <c r="AN24" s="826"/>
      <c r="AQ24" s="847"/>
      <c r="BC24" s="1" t="s">
        <v>2563</v>
      </c>
      <c r="BD24" s="1" t="s">
        <v>452</v>
      </c>
      <c r="BL24" s="1" t="s">
        <v>488</v>
      </c>
      <c r="BM24" s="1" t="s">
        <v>488</v>
      </c>
      <c r="BR24" s="1" t="s">
        <v>2087</v>
      </c>
      <c r="BS24" s="1" t="s">
        <v>2086</v>
      </c>
      <c r="BZ24" t="s">
        <v>2367</v>
      </c>
      <c r="CA24" t="s">
        <v>2286</v>
      </c>
      <c r="CJ24" t="s">
        <v>2012</v>
      </c>
      <c r="CK24" t="s">
        <v>2012</v>
      </c>
    </row>
    <row r="25" spans="18:89" ht="16.350000000000001" customHeight="1">
      <c r="R25" s="820">
        <f>Ram_1!AR21</f>
        <v>0</v>
      </c>
      <c r="V25" s="825" t="str">
        <f>'Translate&amp;Prices&amp;Logo'!$O$173</f>
        <v>Rodzaj szkła</v>
      </c>
      <c r="W25" s="825"/>
      <c r="X25" s="825"/>
      <c r="Y25" s="825"/>
      <c r="Z25" s="825"/>
      <c r="AA25" s="207"/>
      <c r="AB25" s="824" t="str">
        <f>IFERROR(VLOOKUP(kombinace_1!$V$1,BW12:BX14,2,0),0)</f>
        <v>Bez modyfikacji</v>
      </c>
      <c r="AC25" s="824"/>
      <c r="AD25" s="824"/>
      <c r="AE25" s="824"/>
      <c r="AF25" s="824"/>
      <c r="AG25" s="824"/>
      <c r="AH25" s="824"/>
      <c r="AI25" s="824"/>
      <c r="AJ25" s="824"/>
      <c r="AK25" s="824"/>
      <c r="AL25" s="824"/>
      <c r="AM25" s="824"/>
      <c r="AN25" s="824"/>
      <c r="AQ25" s="847"/>
      <c r="BC25" s="1" t="s">
        <v>2420</v>
      </c>
      <c r="BD25" s="1" t="s">
        <v>453</v>
      </c>
      <c r="BL25" s="1" t="s">
        <v>489</v>
      </c>
      <c r="BM25" s="1" t="s">
        <v>489</v>
      </c>
      <c r="BR25" s="1" t="s">
        <v>2089</v>
      </c>
      <c r="BS25" s="1" t="s">
        <v>2271</v>
      </c>
      <c r="BZ25" t="s">
        <v>2368</v>
      </c>
      <c r="CA25" t="s">
        <v>2287</v>
      </c>
      <c r="CJ25" t="s">
        <v>2025</v>
      </c>
      <c r="CK25" t="s">
        <v>4015</v>
      </c>
    </row>
    <row r="26" spans="18:89" ht="16.350000000000001" customHeight="1">
      <c r="R26" s="820">
        <f>Ram_1!AR22</f>
        <v>0</v>
      </c>
      <c r="V26" s="825" t="str">
        <f>'Translate&amp;Prices&amp;Logo'!$O$562</f>
        <v>Rodzaj folii</v>
      </c>
      <c r="W26" s="825"/>
      <c r="X26" s="825"/>
      <c r="Y26" s="825"/>
      <c r="Z26" s="825"/>
      <c r="AA26" s="207"/>
      <c r="AB26" s="824">
        <f>IFERROR(VLOOKUP(Ram_1!$H$24,BZ12:CA26,2,0),0)</f>
        <v>0</v>
      </c>
      <c r="AC26" s="824"/>
      <c r="AD26" s="824"/>
      <c r="AE26" s="824"/>
      <c r="AF26" s="824"/>
      <c r="AG26" s="824"/>
      <c r="AH26" s="824"/>
      <c r="AI26" s="824"/>
      <c r="AJ26" s="824"/>
      <c r="AK26" s="824"/>
      <c r="AL26" s="824"/>
      <c r="AM26" s="824"/>
      <c r="AN26" s="824"/>
      <c r="AQ26" s="847"/>
      <c r="BC26" s="1" t="s">
        <v>1660</v>
      </c>
      <c r="BD26" s="1" t="s">
        <v>2101</v>
      </c>
      <c r="BL26" s="1" t="s">
        <v>2272</v>
      </c>
      <c r="BM26" s="1" t="s">
        <v>2272</v>
      </c>
      <c r="BR26" s="1" t="s">
        <v>560</v>
      </c>
      <c r="BS26" s="1" t="s">
        <v>483</v>
      </c>
      <c r="BZ26" t="s">
        <v>2369</v>
      </c>
      <c r="CA26" t="s">
        <v>2288</v>
      </c>
      <c r="CJ26" t="s">
        <v>2303</v>
      </c>
      <c r="CK26" t="s">
        <v>4117</v>
      </c>
    </row>
    <row r="27" spans="18:89" ht="16.350000000000001" customHeight="1" thickBot="1">
      <c r="R27" s="821">
        <f>Ram_1!AR23</f>
        <v>0</v>
      </c>
      <c r="V27" s="825" t="str">
        <f>'Translate&amp;Prices&amp;Logo'!$O$173</f>
        <v>Rodzaj szkła</v>
      </c>
      <c r="W27" s="825"/>
      <c r="X27" s="825"/>
      <c r="Y27" s="825"/>
      <c r="Z27" s="825"/>
      <c r="AA27" s="207"/>
      <c r="AB27" s="824">
        <f>IFERROR(VLOOKUP(Ram_1!$H$25,kombinace_1!DT:DU,2,0),Ram_1!$H$25)</f>
        <v>0</v>
      </c>
      <c r="AC27" s="824"/>
      <c r="AD27" s="824"/>
      <c r="AE27" s="824"/>
      <c r="AF27" s="824"/>
      <c r="AG27" s="824"/>
      <c r="AH27" s="824"/>
      <c r="AI27" s="824"/>
      <c r="AJ27" s="824"/>
      <c r="AK27" s="824"/>
      <c r="AL27" s="824"/>
      <c r="AM27" s="824"/>
      <c r="AN27" s="824"/>
      <c r="AQ27" s="847"/>
      <c r="BL27" s="1" t="s">
        <v>564</v>
      </c>
      <c r="BM27" s="1" t="s">
        <v>486</v>
      </c>
      <c r="BR27" s="1" t="s">
        <v>561</v>
      </c>
      <c r="BS27" s="1" t="s">
        <v>484</v>
      </c>
      <c r="CJ27" t="s">
        <v>2306</v>
      </c>
      <c r="CK27" t="s">
        <v>4118</v>
      </c>
    </row>
    <row r="28" spans="18:89" ht="16.350000000000001" customHeight="1">
      <c r="V28" s="825" t="str">
        <f>'Translate&amp;Prices&amp;Logo'!$O$549</f>
        <v>Rozstaw uchwytu (mm)</v>
      </c>
      <c r="W28" s="825"/>
      <c r="X28" s="825"/>
      <c r="Y28" s="825"/>
      <c r="Z28" s="825"/>
      <c r="AA28" s="207"/>
      <c r="AB28" s="824">
        <f>Ram_1!$H$26</f>
        <v>0</v>
      </c>
      <c r="AC28" s="824"/>
      <c r="AD28" s="824"/>
      <c r="AE28" s="824"/>
      <c r="AF28" s="824"/>
      <c r="AG28" s="824"/>
      <c r="AH28" s="824"/>
      <c r="AI28" s="824"/>
      <c r="AJ28" s="824"/>
      <c r="AK28" s="824"/>
      <c r="AL28" s="824"/>
      <c r="AM28" s="824"/>
      <c r="AN28" s="824"/>
      <c r="AQ28" s="847"/>
      <c r="BL28" s="1" t="s">
        <v>565</v>
      </c>
      <c r="BM28" s="1" t="s">
        <v>487</v>
      </c>
      <c r="BR28" s="1" t="s">
        <v>2322</v>
      </c>
      <c r="BS28" s="1" t="s">
        <v>2086</v>
      </c>
      <c r="CJ28" t="s">
        <v>2026</v>
      </c>
      <c r="CK28" t="s">
        <v>4016</v>
      </c>
    </row>
    <row r="29" spans="18:89" ht="16.350000000000001" customHeight="1">
      <c r="V29" s="825" t="str">
        <f>'Translate&amp;Prices&amp;Logo'!$O$550</f>
        <v>Umieszczenie uchwytu</v>
      </c>
      <c r="W29" s="825"/>
      <c r="X29" s="825"/>
      <c r="Y29" s="825"/>
      <c r="Z29" s="825"/>
      <c r="AA29" s="207"/>
      <c r="AB29" s="824">
        <f>IFERROR(VLOOKUP(Ram_1!$H$27,BR12:BS31,2,0),0)</f>
        <v>0</v>
      </c>
      <c r="AC29" s="824"/>
      <c r="AD29" s="824"/>
      <c r="AE29" s="824"/>
      <c r="AF29" s="824"/>
      <c r="AG29" s="824"/>
      <c r="AH29" s="824"/>
      <c r="AI29" s="824"/>
      <c r="AJ29" s="824"/>
      <c r="AK29" s="824"/>
      <c r="AL29" s="824"/>
      <c r="AM29" s="824"/>
      <c r="AN29" s="824"/>
      <c r="AQ29" s="847"/>
      <c r="BL29" s="1" t="s">
        <v>566</v>
      </c>
      <c r="BM29" s="1" t="s">
        <v>488</v>
      </c>
      <c r="BR29" s="1" t="s">
        <v>1734</v>
      </c>
      <c r="BS29" s="1" t="s">
        <v>2271</v>
      </c>
      <c r="CJ29" t="s">
        <v>2032</v>
      </c>
      <c r="CK29" t="s">
        <v>4017</v>
      </c>
    </row>
    <row r="30" spans="18:89" ht="16.350000000000001" customHeight="1">
      <c r="V30" s="825" t="str">
        <f>('Translate&amp;Prices&amp;Logo'!$O$174)&amp;" "&amp;"-"&amp;" "&amp;('Translate&amp;Prices&amp;Logo'!$O$169)&amp;" "&amp;" "&amp;1</f>
        <v>Ilość sztuk - Ramka  1</v>
      </c>
      <c r="W30" s="825"/>
      <c r="X30" s="825"/>
      <c r="Y30" s="825"/>
      <c r="Z30" s="825"/>
      <c r="AA30" s="207"/>
      <c r="AB30" s="824">
        <f>Ram_1!$H$28</f>
        <v>0</v>
      </c>
      <c r="AC30" s="824"/>
      <c r="AD30" s="824"/>
      <c r="AE30" s="824"/>
      <c r="AF30" s="824"/>
      <c r="AG30" s="824"/>
      <c r="AH30" s="824"/>
      <c r="AI30" s="824"/>
      <c r="AJ30" s="824"/>
      <c r="AK30" s="824"/>
      <c r="AL30" s="824"/>
      <c r="AM30" s="824"/>
      <c r="AN30" s="824"/>
      <c r="AQ30" s="847"/>
      <c r="BL30" s="1" t="s">
        <v>567</v>
      </c>
      <c r="BM30" s="1" t="s">
        <v>489</v>
      </c>
      <c r="BR30" s="1" t="s">
        <v>1693</v>
      </c>
      <c r="BS30" s="1" t="s">
        <v>483</v>
      </c>
      <c r="CJ30" s="400" t="s">
        <v>3606</v>
      </c>
      <c r="CK30" t="s">
        <v>3606</v>
      </c>
    </row>
    <row r="31" spans="18:89" ht="16.350000000000001" customHeight="1">
      <c r="AD31" s="1"/>
      <c r="AE31" s="1"/>
      <c r="AQ31" s="847"/>
      <c r="BL31" s="1" t="s">
        <v>2220</v>
      </c>
      <c r="BM31" s="1" t="s">
        <v>2272</v>
      </c>
      <c r="BR31" s="1" t="s">
        <v>1694</v>
      </c>
      <c r="BS31" s="1" t="s">
        <v>484</v>
      </c>
      <c r="CJ31" s="400" t="s">
        <v>3607</v>
      </c>
      <c r="CK31" t="s">
        <v>3607</v>
      </c>
    </row>
    <row r="32" spans="18:89" ht="14.85" customHeight="1">
      <c r="AQ32" s="847"/>
      <c r="BL32" s="1" t="s">
        <v>2323</v>
      </c>
      <c r="BM32" s="1" t="s">
        <v>486</v>
      </c>
      <c r="BR32" s="286" t="s">
        <v>3271</v>
      </c>
      <c r="BS32" s="286" t="s">
        <v>3279</v>
      </c>
      <c r="CJ32" s="400" t="s">
        <v>4018</v>
      </c>
      <c r="CK32" t="s">
        <v>4320</v>
      </c>
    </row>
    <row r="33" spans="1:89" ht="14.85" customHeight="1">
      <c r="V33" s="836" t="s">
        <v>2572</v>
      </c>
      <c r="W33" s="836"/>
      <c r="X33" s="836"/>
      <c r="Y33" s="836"/>
      <c r="AD33" s="836" t="s">
        <v>2573</v>
      </c>
      <c r="AE33" s="836"/>
      <c r="AF33" s="836"/>
      <c r="AG33" s="836"/>
      <c r="AQ33" s="847"/>
      <c r="BL33" s="1" t="s">
        <v>2324</v>
      </c>
      <c r="BM33" s="1" t="s">
        <v>487</v>
      </c>
      <c r="BR33" s="286" t="s">
        <v>3272</v>
      </c>
      <c r="BS33" s="286" t="s">
        <v>3280</v>
      </c>
      <c r="CJ33" s="400" t="s">
        <v>4019</v>
      </c>
      <c r="CK33" t="s">
        <v>4115</v>
      </c>
    </row>
    <row r="34" spans="1:89" ht="14.85" customHeight="1">
      <c r="AD34" s="827"/>
      <c r="AE34" s="828"/>
      <c r="AF34" s="828"/>
      <c r="AG34" s="828"/>
      <c r="AH34" s="828"/>
      <c r="AI34" s="828"/>
      <c r="AJ34" s="828"/>
      <c r="AK34" s="828"/>
      <c r="AL34" s="828"/>
      <c r="AM34" s="829"/>
      <c r="AQ34" s="847"/>
      <c r="BL34" s="1" t="s">
        <v>2448</v>
      </c>
      <c r="BM34" s="1" t="s">
        <v>488</v>
      </c>
      <c r="BR34" s="286" t="s">
        <v>3273</v>
      </c>
      <c r="BS34" s="286" t="s">
        <v>3281</v>
      </c>
      <c r="CJ34" s="400" t="s">
        <v>3545</v>
      </c>
      <c r="CK34" t="s">
        <v>3545</v>
      </c>
    </row>
    <row r="35" spans="1:89" ht="14.85" customHeight="1">
      <c r="AD35" s="830"/>
      <c r="AE35" s="831"/>
      <c r="AF35" s="831"/>
      <c r="AG35" s="831"/>
      <c r="AH35" s="831"/>
      <c r="AI35" s="831"/>
      <c r="AJ35" s="831"/>
      <c r="AK35" s="831"/>
      <c r="AL35" s="831"/>
      <c r="AM35" s="832"/>
      <c r="AQ35" s="847"/>
      <c r="BL35" s="1" t="s">
        <v>2449</v>
      </c>
      <c r="BM35" s="1" t="s">
        <v>489</v>
      </c>
      <c r="BR35" s="286" t="s">
        <v>3274</v>
      </c>
      <c r="BS35" s="286" t="s">
        <v>3282</v>
      </c>
      <c r="CJ35" s="400" t="s">
        <v>3546</v>
      </c>
      <c r="CK35" t="s">
        <v>3546</v>
      </c>
    </row>
    <row r="36" spans="1:89" ht="14.85" customHeight="1">
      <c r="AD36" s="830"/>
      <c r="AE36" s="831"/>
      <c r="AF36" s="831"/>
      <c r="AG36" s="831"/>
      <c r="AH36" s="831"/>
      <c r="AI36" s="831"/>
      <c r="AJ36" s="831"/>
      <c r="AK36" s="831"/>
      <c r="AL36" s="831"/>
      <c r="AM36" s="832"/>
      <c r="AQ36" s="847"/>
      <c r="BL36" s="1" t="s">
        <v>1898</v>
      </c>
      <c r="BM36" s="1" t="s">
        <v>2272</v>
      </c>
      <c r="BR36" s="328" t="s">
        <v>213</v>
      </c>
      <c r="BS36" s="286" t="s">
        <v>485</v>
      </c>
      <c r="CJ36" s="400" t="s">
        <v>2019</v>
      </c>
      <c r="CK36" t="s">
        <v>3572</v>
      </c>
    </row>
    <row r="37" spans="1:89" ht="14.85" customHeight="1">
      <c r="C37" s="844">
        <f>IF(OR(Ram_1!$AC$25="x",Ram_1!$AJ$26="x",Ram_1!$AC$9="x",Ram_1!$AJ$7="x",Ram_1!$AB$16="x",Ram_1!$AM$23="x",Ram_1!$AN$19="x",Ram_1!$AD$10="x"),'Translate&amp;Prices&amp;Logo'!$B$588,0)</f>
        <v>0</v>
      </c>
      <c r="D37" s="844"/>
      <c r="E37" s="844"/>
      <c r="F37" s="844"/>
      <c r="G37" s="844"/>
      <c r="H37" s="844"/>
      <c r="I37" s="844"/>
      <c r="J37" s="844"/>
      <c r="K37" s="844"/>
      <c r="L37" s="844"/>
      <c r="M37" s="844"/>
      <c r="N37" s="844"/>
      <c r="O37" s="844"/>
      <c r="AD37" s="830"/>
      <c r="AE37" s="831"/>
      <c r="AF37" s="831"/>
      <c r="AG37" s="831"/>
      <c r="AH37" s="831"/>
      <c r="AI37" s="831"/>
      <c r="AJ37" s="831"/>
      <c r="AK37" s="831"/>
      <c r="AL37" s="831"/>
      <c r="AM37" s="832"/>
      <c r="AQ37" s="847"/>
      <c r="BR37" s="286" t="s">
        <v>419</v>
      </c>
      <c r="BS37" s="286" t="s">
        <v>485</v>
      </c>
      <c r="CJ37" s="400" t="s">
        <v>2027</v>
      </c>
      <c r="CK37" t="s">
        <v>3575</v>
      </c>
    </row>
    <row r="38" spans="1:89" ht="14.85" customHeight="1">
      <c r="AD38" s="830"/>
      <c r="AE38" s="831"/>
      <c r="AF38" s="831"/>
      <c r="AG38" s="831"/>
      <c r="AH38" s="831"/>
      <c r="AI38" s="831"/>
      <c r="AJ38" s="831"/>
      <c r="AK38" s="831"/>
      <c r="AL38" s="831"/>
      <c r="AM38" s="832"/>
      <c r="AQ38" s="847"/>
      <c r="BR38" s="286" t="s">
        <v>562</v>
      </c>
      <c r="BS38" s="286" t="s">
        <v>485</v>
      </c>
      <c r="CJ38" s="400" t="s">
        <v>2033</v>
      </c>
      <c r="CK38" t="s">
        <v>2033</v>
      </c>
    </row>
    <row r="39" spans="1:89" ht="14.85" customHeight="1" thickBot="1">
      <c r="AD39" s="830"/>
      <c r="AE39" s="831"/>
      <c r="AF39" s="831"/>
      <c r="AG39" s="831"/>
      <c r="AH39" s="831"/>
      <c r="AI39" s="831"/>
      <c r="AJ39" s="831"/>
      <c r="AK39" s="831"/>
      <c r="AL39" s="831"/>
      <c r="AM39" s="832"/>
      <c r="AQ39" s="847"/>
      <c r="BR39" s="286" t="s">
        <v>1695</v>
      </c>
      <c r="BS39" s="286" t="s">
        <v>485</v>
      </c>
      <c r="CJ39" s="400" t="s">
        <v>4020</v>
      </c>
      <c r="CK39" t="s">
        <v>4113</v>
      </c>
    </row>
    <row r="40" spans="1:89" ht="14.85" customHeight="1" thickBot="1">
      <c r="F40" s="816" t="str">
        <f>'Translate&amp;Prices&amp;Logo'!$O$175</f>
        <v>Szerokość</v>
      </c>
      <c r="G40" s="817">
        <f>Ram_1!AG30</f>
        <v>0</v>
      </c>
      <c r="H40" s="817">
        <f>Ram_1!AH30</f>
        <v>0</v>
      </c>
      <c r="I40" s="818">
        <f>Ram_1!AI30</f>
        <v>0</v>
      </c>
      <c r="J40" s="818">
        <f>Ram_1!AJ30</f>
        <v>0</v>
      </c>
      <c r="K40" s="819">
        <f>Ram_1!AK30</f>
        <v>0</v>
      </c>
      <c r="AD40" s="830"/>
      <c r="AE40" s="831"/>
      <c r="AF40" s="831"/>
      <c r="AG40" s="831"/>
      <c r="AH40" s="831"/>
      <c r="AI40" s="831"/>
      <c r="AJ40" s="831"/>
      <c r="AK40" s="831"/>
      <c r="AL40" s="831"/>
      <c r="AM40" s="832"/>
      <c r="AQ40" s="847"/>
      <c r="CJ40" s="400" t="s">
        <v>4021</v>
      </c>
      <c r="CK40" t="s">
        <v>4114</v>
      </c>
    </row>
    <row r="41" spans="1:89" ht="21" customHeight="1">
      <c r="AD41" s="833"/>
      <c r="AE41" s="834"/>
      <c r="AF41" s="834"/>
      <c r="AG41" s="834"/>
      <c r="AH41" s="834"/>
      <c r="AI41" s="834"/>
      <c r="AJ41" s="834"/>
      <c r="AK41" s="834"/>
      <c r="AL41" s="834"/>
      <c r="AM41" s="835"/>
      <c r="AQ41" s="847"/>
      <c r="CJ41" s="400" t="s">
        <v>2020</v>
      </c>
      <c r="CK41" t="s">
        <v>4012</v>
      </c>
    </row>
    <row r="42" spans="1:89" ht="14.85" customHeight="1">
      <c r="AQ42" s="847"/>
      <c r="CJ42" s="400" t="s">
        <v>2028</v>
      </c>
      <c r="CK42" t="s">
        <v>4013</v>
      </c>
    </row>
    <row r="43" spans="1:89" ht="14.85" customHeight="1">
      <c r="AQ43" s="847"/>
      <c r="CJ43" s="400" t="s">
        <v>2021</v>
      </c>
      <c r="CK43" t="s">
        <v>3573</v>
      </c>
    </row>
    <row r="44" spans="1:89" ht="14.85" customHeight="1" thickBot="1">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276"/>
      <c r="AE44" s="277"/>
      <c r="AF44" s="123"/>
      <c r="AG44" s="123"/>
      <c r="AH44" s="123"/>
      <c r="AI44" s="123"/>
      <c r="AJ44" s="123"/>
      <c r="AK44" s="123"/>
      <c r="AL44" s="123"/>
      <c r="AM44" s="123"/>
      <c r="AN44" s="123"/>
      <c r="AO44" s="123"/>
      <c r="AP44" s="123"/>
      <c r="AQ44" s="123"/>
      <c r="CJ44" s="400" t="s">
        <v>2000</v>
      </c>
      <c r="CK44" t="s">
        <v>2000</v>
      </c>
    </row>
    <row r="45" spans="1:89" ht="35.1" customHeight="1" thickBot="1">
      <c r="I45" s="273"/>
      <c r="J45" s="273"/>
      <c r="K45" s="273"/>
      <c r="L45" s="273"/>
      <c r="M45" s="273"/>
      <c r="N45" s="273"/>
      <c r="O45" s="273"/>
      <c r="P45" s="273"/>
      <c r="Q45" s="273"/>
      <c r="R45" s="273"/>
      <c r="S45" s="273"/>
      <c r="T45" s="273"/>
      <c r="U45" s="273"/>
      <c r="V45" s="840" t="str">
        <f>'Translate&amp;Prices&amp;Logo'!$O$256</f>
        <v>Numer zamówienia</v>
      </c>
      <c r="W45" s="840"/>
      <c r="X45" s="840"/>
      <c r="Y45" s="840"/>
      <c r="Z45" s="840"/>
      <c r="AA45" s="207"/>
      <c r="AB45" s="837"/>
      <c r="AC45" s="838"/>
      <c r="AD45" s="838"/>
      <c r="AE45" s="838"/>
      <c r="AF45" s="838"/>
      <c r="AG45" s="838"/>
      <c r="AH45" s="838"/>
      <c r="AI45" s="838"/>
      <c r="AJ45" s="838"/>
      <c r="AK45" s="838"/>
      <c r="AL45" s="838"/>
      <c r="AM45" s="838"/>
      <c r="AN45" s="839"/>
      <c r="AQ45" s="847" t="s">
        <v>2575</v>
      </c>
      <c r="CJ45" s="400" t="s">
        <v>2010</v>
      </c>
      <c r="CK45" t="s">
        <v>2010</v>
      </c>
    </row>
    <row r="46" spans="1:89" ht="16.350000000000001" customHeight="1">
      <c r="V46" s="825" t="str">
        <f>'Translate&amp;Prices&amp;Logo'!$O$542</f>
        <v>Połączenie 2 profili</v>
      </c>
      <c r="W46" s="825"/>
      <c r="X46" s="825"/>
      <c r="Y46" s="825"/>
      <c r="Z46" s="825"/>
      <c r="AA46" s="207"/>
      <c r="AB46" s="848" t="str">
        <f>IF(kombinace_2!$H$1=TRUE,"Tak","Nie")</f>
        <v>Nie</v>
      </c>
      <c r="AC46" s="848"/>
      <c r="AD46" s="848"/>
      <c r="AE46" s="848"/>
      <c r="AF46" s="848"/>
      <c r="AG46" s="848"/>
      <c r="AH46" s="848"/>
      <c r="AI46" s="848"/>
      <c r="AJ46" s="848"/>
      <c r="AK46" s="848"/>
      <c r="AL46" s="848"/>
      <c r="AM46" s="848"/>
      <c r="AN46" s="848"/>
      <c r="AQ46" s="847"/>
      <c r="CJ46" s="400" t="s">
        <v>2029</v>
      </c>
      <c r="CK46" t="s">
        <v>3576</v>
      </c>
    </row>
    <row r="47" spans="1:89" ht="16.350000000000001" customHeight="1">
      <c r="V47" s="825" t="str">
        <f>'Translate&amp;Prices&amp;Logo'!$O$172</f>
        <v>Rodzaj profilu</v>
      </c>
      <c r="W47" s="825"/>
      <c r="X47" s="825"/>
      <c r="Y47" s="825"/>
      <c r="Z47" s="825"/>
      <c r="AA47" s="207"/>
      <c r="AB47" s="824">
        <f>IFERROR(VLOOKUP(Ram_2!$H$8,'Translate&amp;Prices&amp;Logo'!AA:AB,2,0),Ram_2!$H$8)</f>
        <v>0</v>
      </c>
      <c r="AC47" s="824"/>
      <c r="AD47" s="824"/>
      <c r="AE47" s="824"/>
      <c r="AF47" s="824"/>
      <c r="AG47" s="824"/>
      <c r="AH47" s="824"/>
      <c r="AI47" s="824"/>
      <c r="AJ47" s="824"/>
      <c r="AK47" s="824"/>
      <c r="AL47" s="824"/>
      <c r="AM47" s="824"/>
      <c r="AN47" s="824"/>
      <c r="AQ47" s="847"/>
      <c r="CJ47" s="400" t="s">
        <v>2024</v>
      </c>
      <c r="CK47" t="s">
        <v>3574</v>
      </c>
    </row>
    <row r="48" spans="1:89" ht="16.350000000000001" customHeight="1">
      <c r="V48" s="825" t="str">
        <f>'Translate&amp;Prices&amp;Logo'!$O$543</f>
        <v>Szprosy</v>
      </c>
      <c r="W48" s="825"/>
      <c r="X48" s="825"/>
      <c r="Y48" s="825"/>
      <c r="Z48" s="825"/>
      <c r="AA48" s="207"/>
      <c r="AB48" s="824" t="str">
        <f>IFERROR(VLOOKUP(Ram_2!$AU$10,AT48:AU51,2,0),0)</f>
        <v>Nie</v>
      </c>
      <c r="AC48" s="824"/>
      <c r="AD48" s="824"/>
      <c r="AE48" s="824"/>
      <c r="AF48" s="824"/>
      <c r="AG48" s="824"/>
      <c r="AH48" s="824"/>
      <c r="AI48" s="824"/>
      <c r="AJ48" s="824"/>
      <c r="AK48" s="824"/>
      <c r="AL48" s="824"/>
      <c r="AM48" s="824"/>
      <c r="AN48" s="824"/>
      <c r="AQ48" s="847"/>
      <c r="AT48">
        <v>0</v>
      </c>
      <c r="AU48" t="str">
        <f>'Translate&amp;Prices&amp;Logo'!$O$557</f>
        <v>Nie</v>
      </c>
      <c r="AY48">
        <v>2</v>
      </c>
      <c r="AZ48" t="str">
        <f>'Translate&amp;Prices&amp;Logo'!$O$551</f>
        <v>Zawiasy</v>
      </c>
      <c r="BC48" s="1" t="s">
        <v>98</v>
      </c>
      <c r="BD48" s="1" t="s">
        <v>452</v>
      </c>
      <c r="BH48" s="1" t="s">
        <v>75</v>
      </c>
      <c r="BI48" s="1" t="s">
        <v>446</v>
      </c>
      <c r="BL48" s="1" t="s">
        <v>215</v>
      </c>
      <c r="BM48" s="1" t="s">
        <v>486</v>
      </c>
      <c r="BR48" s="1" t="s">
        <v>221</v>
      </c>
      <c r="BS48" s="1" t="s">
        <v>2086</v>
      </c>
      <c r="BW48" s="1">
        <v>1</v>
      </c>
      <c r="BX48" s="1" t="str">
        <f>'Translate&amp;Prices&amp;Logo'!$O$100</f>
        <v>Bez modyfikacji</v>
      </c>
      <c r="BZ48" t="s">
        <v>1886</v>
      </c>
      <c r="CA48" t="s">
        <v>2286</v>
      </c>
      <c r="CJ48" s="400" t="s">
        <v>2003</v>
      </c>
      <c r="CK48" t="s">
        <v>2003</v>
      </c>
    </row>
    <row r="49" spans="18:89" ht="16.350000000000001" customHeight="1">
      <c r="V49" s="278"/>
      <c r="W49" s="278"/>
      <c r="X49" s="278"/>
      <c r="Y49" s="278"/>
      <c r="Z49" s="278"/>
      <c r="AA49" s="279"/>
      <c r="AB49" s="849" t="str">
        <f>'Translate&amp;Prices&amp;Logo'!$O$558</f>
        <v>Poziomo (termin dostawy 4 tygodnie)</v>
      </c>
      <c r="AC49" s="849"/>
      <c r="AD49" s="849"/>
      <c r="AE49" s="849"/>
      <c r="AF49" s="849"/>
      <c r="AG49" s="849"/>
      <c r="AH49" s="849"/>
      <c r="AI49" s="849" t="str">
        <f>'Translate&amp;Prices&amp;Logo'!$O$559</f>
        <v>Pionowo (termin dostawy 4 tygodnie)</v>
      </c>
      <c r="AJ49" s="849"/>
      <c r="AK49" s="849"/>
      <c r="AL49" s="849"/>
      <c r="AM49" s="849"/>
      <c r="AN49" s="849"/>
      <c r="AQ49" s="847"/>
      <c r="AT49">
        <v>1</v>
      </c>
      <c r="AU49" t="str">
        <f>'Translate&amp;Prices&amp;Logo'!$O$558</f>
        <v>Poziomo (termin dostawy 4 tygodnie)</v>
      </c>
      <c r="AY49">
        <v>3</v>
      </c>
      <c r="AZ49" t="str">
        <f>'Translate&amp;Prices&amp;Logo'!$O$552</f>
        <v>Podnośniki</v>
      </c>
      <c r="BC49" s="1" t="s">
        <v>99</v>
      </c>
      <c r="BD49" s="1" t="s">
        <v>453</v>
      </c>
      <c r="BH49" s="1" t="s">
        <v>74</v>
      </c>
      <c r="BI49" s="1" t="s">
        <v>447</v>
      </c>
      <c r="BL49" s="1" t="s">
        <v>216</v>
      </c>
      <c r="BM49" s="1" t="s">
        <v>487</v>
      </c>
      <c r="BR49" s="1" t="s">
        <v>222</v>
      </c>
      <c r="BS49" s="1" t="s">
        <v>2271</v>
      </c>
      <c r="BW49" s="1">
        <v>2</v>
      </c>
      <c r="BX49" s="1" t="str">
        <f>'Translate&amp;Prices&amp;Logo'!$O$101</f>
        <v>Hartowane</v>
      </c>
      <c r="BZ49" t="s">
        <v>1889</v>
      </c>
      <c r="CA49" t="s">
        <v>2287</v>
      </c>
      <c r="CJ49" s="400" t="s">
        <v>2030</v>
      </c>
      <c r="CK49" t="s">
        <v>4014</v>
      </c>
    </row>
    <row r="50" spans="18:89" ht="16.350000000000001" customHeight="1">
      <c r="V50" s="825" t="str">
        <f>('Translate&amp;Prices&amp;Logo'!$O$543)&amp;" "&amp;"("&amp;'Translate&amp;Prices&amp;Logo'!$O$174&amp;")"</f>
        <v>Szprosy (Ilość sztuk)</v>
      </c>
      <c r="W50" s="825"/>
      <c r="X50" s="825"/>
      <c r="Y50" s="825"/>
      <c r="Z50" s="825"/>
      <c r="AA50" s="207"/>
      <c r="AB50" s="824">
        <f>Ram_2!$H$11</f>
        <v>0</v>
      </c>
      <c r="AC50" s="824"/>
      <c r="AD50" s="824"/>
      <c r="AE50" s="824"/>
      <c r="AF50" s="824"/>
      <c r="AG50" s="824"/>
      <c r="AH50" s="824"/>
      <c r="AI50" s="824">
        <f>Ram_2!$M$11</f>
        <v>0</v>
      </c>
      <c r="AJ50" s="824"/>
      <c r="AK50" s="824"/>
      <c r="AL50" s="824"/>
      <c r="AM50" s="824"/>
      <c r="AN50" s="824"/>
      <c r="AQ50" s="847"/>
      <c r="AT50">
        <v>2</v>
      </c>
      <c r="AU50" t="str">
        <f>'Translate&amp;Prices&amp;Logo'!$O$559</f>
        <v>Pionowo (termin dostawy 4 tygodnie)</v>
      </c>
      <c r="BC50" s="1" t="s">
        <v>100</v>
      </c>
      <c r="BD50" s="1" t="s">
        <v>2101</v>
      </c>
      <c r="BH50" s="1" t="s">
        <v>387</v>
      </c>
      <c r="BI50" s="1" t="s">
        <v>446</v>
      </c>
      <c r="BL50" s="1" t="s">
        <v>218</v>
      </c>
      <c r="BM50" s="1" t="s">
        <v>488</v>
      </c>
      <c r="BR50" s="1" t="s">
        <v>212</v>
      </c>
      <c r="BS50" s="1" t="s">
        <v>483</v>
      </c>
      <c r="BW50" s="1">
        <v>3</v>
      </c>
      <c r="BX50" s="1" t="str">
        <f>'Translate&amp;Prices&amp;Logo'!$O$102</f>
        <v>Folia</v>
      </c>
      <c r="BZ50" t="s">
        <v>1892</v>
      </c>
      <c r="CA50" t="s">
        <v>2288</v>
      </c>
      <c r="CJ50" s="400" t="s">
        <v>2031</v>
      </c>
      <c r="CK50" t="s">
        <v>3577</v>
      </c>
    </row>
    <row r="51" spans="18:89" ht="16.350000000000001" customHeight="1">
      <c r="V51" s="825" t="str">
        <f>'Translate&amp;Prices&amp;Logo'!$O$258</f>
        <v>Typ okucia</v>
      </c>
      <c r="W51" s="825"/>
      <c r="X51" s="825"/>
      <c r="Y51" s="825"/>
      <c r="Z51" s="825"/>
      <c r="AA51" s="207"/>
      <c r="AB51" s="824">
        <f>IFERROR(VLOOKUP(Ram_2!$AU$9,AY48:AZ49,2,0),0)</f>
        <v>0</v>
      </c>
      <c r="AC51" s="824"/>
      <c r="AD51" s="824"/>
      <c r="AE51" s="824"/>
      <c r="AF51" s="824"/>
      <c r="AG51" s="824"/>
      <c r="AH51" s="824"/>
      <c r="AI51" s="824"/>
      <c r="AJ51" s="824"/>
      <c r="AK51" s="824"/>
      <c r="AL51" s="824"/>
      <c r="AM51" s="824"/>
      <c r="AN51" s="824"/>
      <c r="AQ51" s="847"/>
      <c r="AT51">
        <v>3</v>
      </c>
      <c r="AU51" t="str">
        <f>'Translate&amp;Prices&amp;Logo'!$O$560</f>
        <v>Poziomo i pionowo (termin dostawy 4 tygodnie)</v>
      </c>
      <c r="BC51" s="1" t="s">
        <v>98</v>
      </c>
      <c r="BD51" s="1" t="s">
        <v>452</v>
      </c>
      <c r="BH51" s="1" t="s">
        <v>388</v>
      </c>
      <c r="BI51" s="1" t="s">
        <v>447</v>
      </c>
      <c r="BL51" s="1" t="s">
        <v>217</v>
      </c>
      <c r="BM51" s="1" t="s">
        <v>489</v>
      </c>
      <c r="BR51" s="1" t="s">
        <v>211</v>
      </c>
      <c r="BS51" s="1" t="s">
        <v>484</v>
      </c>
      <c r="BZ51" t="s">
        <v>2175</v>
      </c>
      <c r="CA51" t="s">
        <v>2286</v>
      </c>
      <c r="CJ51" s="400" t="s">
        <v>4022</v>
      </c>
      <c r="CK51" t="s">
        <v>4116</v>
      </c>
    </row>
    <row r="52" spans="18:89" ht="16.350000000000001" customHeight="1">
      <c r="V52" s="825" t="str">
        <f>'Translate&amp;Prices&amp;Logo'!$O$544</f>
        <v>Marka okucia</v>
      </c>
      <c r="W52" s="825"/>
      <c r="X52" s="825"/>
      <c r="Y52" s="825"/>
      <c r="Z52" s="825"/>
      <c r="AA52" s="207"/>
      <c r="AB52" s="824">
        <f>Ram_2!$H$13</f>
        <v>0</v>
      </c>
      <c r="AC52" s="824"/>
      <c r="AD52" s="824"/>
      <c r="AE52" s="824"/>
      <c r="AF52" s="824"/>
      <c r="AG52" s="824"/>
      <c r="AH52" s="824"/>
      <c r="AI52" s="824"/>
      <c r="AJ52" s="824"/>
      <c r="AK52" s="824"/>
      <c r="AL52" s="824"/>
      <c r="AM52" s="824"/>
      <c r="AN52" s="824"/>
      <c r="AQ52" s="847"/>
      <c r="BC52" s="1" t="s">
        <v>99</v>
      </c>
      <c r="BD52" s="1" t="s">
        <v>453</v>
      </c>
      <c r="BH52" s="1" t="s">
        <v>705</v>
      </c>
      <c r="BI52" s="1" t="s">
        <v>446</v>
      </c>
      <c r="BL52" s="1" t="s">
        <v>219</v>
      </c>
      <c r="BM52" s="1" t="s">
        <v>2272</v>
      </c>
      <c r="BR52" s="1" t="s">
        <v>2088</v>
      </c>
      <c r="BS52" s="1" t="s">
        <v>2086</v>
      </c>
      <c r="BZ52" t="s">
        <v>2176</v>
      </c>
      <c r="CA52" t="s">
        <v>2287</v>
      </c>
      <c r="CJ52" s="400" t="s">
        <v>2012</v>
      </c>
      <c r="CK52" t="s">
        <v>2012</v>
      </c>
    </row>
    <row r="53" spans="18:89" ht="16.350000000000001" customHeight="1" thickBot="1">
      <c r="V53" s="825" t="str">
        <f>'Translate&amp;Prices&amp;Logo'!$O$546</f>
        <v>Nałożenie</v>
      </c>
      <c r="W53" s="825"/>
      <c r="X53" s="825"/>
      <c r="Y53" s="825"/>
      <c r="Z53" s="825"/>
      <c r="AA53" s="207"/>
      <c r="AB53" s="824">
        <f>IFERROR(VLOOKUP(Ram_2!$H$14,BC48:BD62,2,0),0)</f>
        <v>0</v>
      </c>
      <c r="AC53" s="824"/>
      <c r="AD53" s="824"/>
      <c r="AE53" s="824"/>
      <c r="AF53" s="824"/>
      <c r="AG53" s="824"/>
      <c r="AH53" s="824"/>
      <c r="AI53" s="824"/>
      <c r="AJ53" s="824"/>
      <c r="AK53" s="824"/>
      <c r="AL53" s="824"/>
      <c r="AM53" s="824"/>
      <c r="AN53" s="824"/>
      <c r="AQ53" s="847"/>
      <c r="BC53" s="1" t="s">
        <v>100</v>
      </c>
      <c r="BD53" s="1" t="s">
        <v>2101</v>
      </c>
      <c r="BH53" s="1" t="s">
        <v>523</v>
      </c>
      <c r="BI53" s="1" t="s">
        <v>447</v>
      </c>
      <c r="BL53" s="1" t="s">
        <v>421</v>
      </c>
      <c r="BM53" s="1" t="s">
        <v>486</v>
      </c>
      <c r="BR53" s="1" t="s">
        <v>222</v>
      </c>
      <c r="BS53" s="1" t="s">
        <v>2271</v>
      </c>
      <c r="BZ53" t="s">
        <v>2177</v>
      </c>
      <c r="CA53" t="s">
        <v>2288</v>
      </c>
      <c r="CJ53" s="400" t="s">
        <v>2025</v>
      </c>
      <c r="CK53" t="s">
        <v>4015</v>
      </c>
    </row>
    <row r="54" spans="18:89" ht="16.350000000000001" customHeight="1">
      <c r="R54" s="822">
        <f>Ram_2!AR14</f>
        <v>0</v>
      </c>
      <c r="V54" s="825" t="str">
        <f>'Translate&amp;Prices&amp;Logo'!$O$545</f>
        <v>Wariant okucia</v>
      </c>
      <c r="W54" s="825"/>
      <c r="X54" s="825"/>
      <c r="Y54" s="825"/>
      <c r="Z54" s="825"/>
      <c r="AA54" s="207"/>
      <c r="AB54" s="841">
        <f>IFERROR(VLOOKUP(Ram_2!$H$15,kombinace_1!$ED:$EE,2,0),Ram_2!$H$15)</f>
        <v>0</v>
      </c>
      <c r="AC54" s="841"/>
      <c r="AD54" s="841"/>
      <c r="AE54" s="841"/>
      <c r="AF54" s="841"/>
      <c r="AG54" s="841"/>
      <c r="AH54" s="841"/>
      <c r="AI54" s="824" t="str">
        <f>IF(AB54='Translate&amp;Prices&amp;Logo'!C698,VLOOKUP(Ram_2!H17,'Translate&amp;Prices&amp;Logo'!C699:D718,2,0),"")</f>
        <v/>
      </c>
      <c r="AJ54" s="824"/>
      <c r="AK54" s="824"/>
      <c r="AL54" s="824"/>
      <c r="AM54" s="824"/>
      <c r="AN54" s="824"/>
      <c r="AQ54" s="847"/>
      <c r="BC54" s="1" t="s">
        <v>452</v>
      </c>
      <c r="BD54" s="1" t="s">
        <v>452</v>
      </c>
      <c r="BH54" s="1" t="s">
        <v>2315</v>
      </c>
      <c r="BI54" s="1" t="s">
        <v>446</v>
      </c>
      <c r="BL54" s="1" t="s">
        <v>422</v>
      </c>
      <c r="BM54" s="1" t="s">
        <v>487</v>
      </c>
      <c r="BR54" s="1" t="s">
        <v>417</v>
      </c>
      <c r="BS54" s="1" t="s">
        <v>483</v>
      </c>
      <c r="BZ54" t="s">
        <v>2286</v>
      </c>
      <c r="CA54" t="s">
        <v>2286</v>
      </c>
      <c r="CJ54" s="400" t="s">
        <v>4023</v>
      </c>
      <c r="CK54" t="s">
        <v>4117</v>
      </c>
    </row>
    <row r="55" spans="18:89" ht="16.350000000000001" customHeight="1">
      <c r="R55" s="823">
        <f>Ram_1!AR51</f>
        <v>0</v>
      </c>
      <c r="V55" s="825" t="str">
        <f>'Translate&amp;Prices&amp;Logo'!$O$218</f>
        <v>Wybierz pozycję ramki</v>
      </c>
      <c r="W55" s="825"/>
      <c r="X55" s="825"/>
      <c r="Y55" s="825"/>
      <c r="Z55" s="825"/>
      <c r="AA55" s="824">
        <f>IFERROR(VLOOKUP(Ram_2!$F$16,BH48:BI57,2,0),0)</f>
        <v>0</v>
      </c>
      <c r="AB55" s="824"/>
      <c r="AC55" s="824"/>
      <c r="AD55" s="824"/>
      <c r="AE55" s="824"/>
      <c r="AF55" s="825" t="str">
        <f>'Translate&amp;Prices&amp;Logo'!$O$232</f>
        <v>Rodzaj drugiej ramki</v>
      </c>
      <c r="AG55" s="825"/>
      <c r="AH55" s="825"/>
      <c r="AI55" s="825"/>
      <c r="AJ55" s="825"/>
      <c r="AK55" s="824">
        <f>IFERROR(VLOOKUP(Ram_2!$N$16,BL48:BM72,2,0),0)</f>
        <v>0</v>
      </c>
      <c r="AL55" s="824"/>
      <c r="AM55" s="824"/>
      <c r="AN55" s="824"/>
      <c r="AQ55" s="847"/>
      <c r="BC55" s="1" t="s">
        <v>453</v>
      </c>
      <c r="BD55" s="1" t="s">
        <v>453</v>
      </c>
      <c r="BH55" s="1" t="s">
        <v>2316</v>
      </c>
      <c r="BI55" s="1" t="s">
        <v>447</v>
      </c>
      <c r="BL55" s="1" t="s">
        <v>423</v>
      </c>
      <c r="BM55" s="1" t="s">
        <v>488</v>
      </c>
      <c r="BR55" s="1" t="s">
        <v>418</v>
      </c>
      <c r="BS55" s="1" t="s">
        <v>484</v>
      </c>
      <c r="BZ55" t="s">
        <v>2287</v>
      </c>
      <c r="CA55" t="s">
        <v>2287</v>
      </c>
      <c r="CJ55" s="400" t="s">
        <v>4024</v>
      </c>
      <c r="CK55" t="s">
        <v>4118</v>
      </c>
    </row>
    <row r="56" spans="18:89" ht="16.350000000000001" customHeight="1">
      <c r="R56" s="823">
        <f>Ram_1!AR52</f>
        <v>0</v>
      </c>
      <c r="V56" s="825" t="str">
        <f>IF(AB51='Translate&amp;Prices&amp;Logo'!O551,'Translate&amp;Prices&amp;Logo'!O238,'Translate&amp;Prices&amp;Logo'!$O$226)</f>
        <v>Umieszczenie</v>
      </c>
      <c r="W56" s="825"/>
      <c r="X56" s="825"/>
      <c r="Y56" s="825"/>
      <c r="Z56" s="825"/>
      <c r="AA56" s="207"/>
      <c r="AB56" s="399" t="str">
        <f>IFERROR((IF(Ram_2!H12='Translate&amp;Prices&amp;Logo'!B552,VLOOKUP(Ram_2!$N$16,BR48:BS67,2,0),VLOOKUP(Ram_2!$H$17,BR48:BS67,2,0))),"")</f>
        <v/>
      </c>
      <c r="AC56" s="399"/>
      <c r="AD56" s="399"/>
      <c r="AE56" s="399"/>
      <c r="AF56" s="399"/>
      <c r="AG56" s="399"/>
      <c r="AH56" s="399"/>
      <c r="AI56" s="399"/>
      <c r="AJ56" s="399"/>
      <c r="AK56" s="399"/>
      <c r="AL56" s="399"/>
      <c r="AM56" s="399"/>
      <c r="AN56" s="399"/>
      <c r="AQ56" s="847"/>
      <c r="BC56" s="1" t="s">
        <v>2101</v>
      </c>
      <c r="BD56" s="1" t="s">
        <v>2101</v>
      </c>
      <c r="BH56" s="1" t="s">
        <v>446</v>
      </c>
      <c r="BI56" s="1" t="s">
        <v>446</v>
      </c>
      <c r="BL56" s="1" t="s">
        <v>424</v>
      </c>
      <c r="BM56" s="1" t="s">
        <v>489</v>
      </c>
      <c r="BR56" s="1" t="s">
        <v>2086</v>
      </c>
      <c r="BS56" s="1" t="s">
        <v>2086</v>
      </c>
      <c r="BZ56" t="s">
        <v>2288</v>
      </c>
      <c r="CA56" t="s">
        <v>2288</v>
      </c>
      <c r="CJ56" s="400" t="s">
        <v>2026</v>
      </c>
      <c r="CK56" t="s">
        <v>4016</v>
      </c>
    </row>
    <row r="57" spans="18:89" ht="16.350000000000001" customHeight="1">
      <c r="R57" s="823">
        <f>Ram_1!AR53</f>
        <v>0</v>
      </c>
      <c r="V57" s="825" t="str">
        <f>'Translate&amp;Prices&amp;Logo'!$O$547</f>
        <v>Zawiasy do podnośników</v>
      </c>
      <c r="W57" s="825"/>
      <c r="X57" s="825"/>
      <c r="Y57" s="825"/>
      <c r="Z57" s="825"/>
      <c r="AA57" s="207"/>
      <c r="AB57" s="824" t="str">
        <f>IFERROR((VLOOKUP(Ram_2!$H$18,CJ:CK,2,0)),"")</f>
        <v/>
      </c>
      <c r="AC57" s="824"/>
      <c r="AD57" s="824"/>
      <c r="AE57" s="824"/>
      <c r="AF57" s="824"/>
      <c r="AG57" s="824"/>
      <c r="AH57" s="824"/>
      <c r="AI57" s="824"/>
      <c r="AJ57" s="824"/>
      <c r="AK57" s="824"/>
      <c r="AL57" s="824"/>
      <c r="AM57" s="824"/>
      <c r="AN57" s="824"/>
      <c r="AQ57" s="847"/>
      <c r="BC57" s="1" t="s">
        <v>528</v>
      </c>
      <c r="BD57" s="1" t="s">
        <v>452</v>
      </c>
      <c r="BH57" s="1" t="s">
        <v>447</v>
      </c>
      <c r="BI57" s="1" t="s">
        <v>447</v>
      </c>
      <c r="BL57" s="1" t="s">
        <v>425</v>
      </c>
      <c r="BM57" s="1" t="s">
        <v>2272</v>
      </c>
      <c r="BR57" s="1" t="s">
        <v>2271</v>
      </c>
      <c r="BS57" s="1" t="s">
        <v>2271</v>
      </c>
      <c r="BZ57" t="s">
        <v>2178</v>
      </c>
      <c r="CA57" t="s">
        <v>2286</v>
      </c>
      <c r="CJ57" s="400" t="s">
        <v>2032</v>
      </c>
      <c r="CK57" t="s">
        <v>4017</v>
      </c>
    </row>
    <row r="58" spans="18:89" ht="16.350000000000001" customHeight="1">
      <c r="R58" s="823">
        <f>Ram_1!AR54</f>
        <v>0</v>
      </c>
      <c r="V58" s="825" t="str">
        <f>'Translate&amp;Prices&amp;Logo'!$O$223</f>
        <v>Ilość zawiasów na 1 ramkę</v>
      </c>
      <c r="W58" s="825"/>
      <c r="X58" s="825"/>
      <c r="Y58" s="825"/>
      <c r="Z58" s="825"/>
      <c r="AA58" s="207"/>
      <c r="AB58" s="824">
        <f>Ram_2!$H$19</f>
        <v>0</v>
      </c>
      <c r="AC58" s="824"/>
      <c r="AD58" s="824"/>
      <c r="AE58" s="824"/>
      <c r="AF58" s="824"/>
      <c r="AG58" s="824"/>
      <c r="AH58" s="824"/>
      <c r="AI58" s="824"/>
      <c r="AJ58" s="824"/>
      <c r="AK58" s="824"/>
      <c r="AL58" s="824"/>
      <c r="AM58" s="824"/>
      <c r="AN58" s="824"/>
      <c r="AQ58" s="847"/>
      <c r="BC58" s="1" t="s">
        <v>529</v>
      </c>
      <c r="BD58" s="1" t="s">
        <v>453</v>
      </c>
      <c r="BL58" s="1" t="s">
        <v>486</v>
      </c>
      <c r="BM58" s="1" t="s">
        <v>486</v>
      </c>
      <c r="BR58" s="1" t="s">
        <v>483</v>
      </c>
      <c r="BS58" s="1" t="s">
        <v>483</v>
      </c>
      <c r="BZ58" t="s">
        <v>2261</v>
      </c>
      <c r="CA58" t="s">
        <v>2287</v>
      </c>
      <c r="CJ58" s="401" t="s">
        <v>3606</v>
      </c>
      <c r="CK58" t="s">
        <v>3606</v>
      </c>
    </row>
    <row r="59" spans="18:89" ht="16.350000000000001" customHeight="1">
      <c r="R59" s="820" t="str">
        <f>'Translate&amp;Prices&amp;Logo'!$O$176</f>
        <v>Wysokość</v>
      </c>
      <c r="V59" s="825" t="e">
        <f>'Translate&amp;Prices&amp;Logo'!$O$242&amp;" "&amp;VLOOKUP(Ram_2!H17,kombinace_1!$BY$32:$CC$35,5,0)</f>
        <v>#N/A</v>
      </c>
      <c r="W59" s="825"/>
      <c r="X59" s="825"/>
      <c r="Y59" s="825"/>
      <c r="Z59" s="825"/>
      <c r="AA59" s="399"/>
      <c r="AB59" s="824">
        <f>Ram_2!$F$20</f>
        <v>100</v>
      </c>
      <c r="AC59" s="824"/>
      <c r="AD59" s="824"/>
      <c r="AE59" s="824"/>
      <c r="AF59" s="825" t="e">
        <f>'Translate&amp;Prices&amp;Logo'!$O$242&amp;" "&amp;VLOOKUP(Ram_2!H17,kombinace_1!$BY$32:$CD$35,6,0)</f>
        <v>#N/A</v>
      </c>
      <c r="AG59" s="825"/>
      <c r="AH59" s="825"/>
      <c r="AI59" s="825"/>
      <c r="AJ59" s="825"/>
      <c r="AK59" s="824">
        <f>Ram_2!$N$20</f>
        <v>100</v>
      </c>
      <c r="AL59" s="824"/>
      <c r="AM59" s="824"/>
      <c r="AN59" s="824"/>
      <c r="AQ59" s="847"/>
      <c r="BC59" s="1" t="s">
        <v>530</v>
      </c>
      <c r="BD59" s="1" t="s">
        <v>2101</v>
      </c>
      <c r="BL59" s="1" t="s">
        <v>487</v>
      </c>
      <c r="BM59" s="1" t="s">
        <v>487</v>
      </c>
      <c r="BR59" s="1" t="s">
        <v>484</v>
      </c>
      <c r="BS59" s="1" t="s">
        <v>484</v>
      </c>
      <c r="BZ59" t="s">
        <v>2179</v>
      </c>
      <c r="CA59" t="s">
        <v>2288</v>
      </c>
      <c r="CJ59" s="401" t="s">
        <v>3607</v>
      </c>
      <c r="CK59" t="s">
        <v>3607</v>
      </c>
    </row>
    <row r="60" spans="18:89" ht="16.350000000000001" customHeight="1">
      <c r="R60" s="820">
        <f>Ram_1!AR56</f>
        <v>0</v>
      </c>
      <c r="V60" s="403" t="str">
        <f>'Translate&amp;Prices&amp;Logo'!$O$653</f>
        <v>Wypełnienie z siatki</v>
      </c>
      <c r="W60" s="278"/>
      <c r="X60" s="278"/>
      <c r="Y60" s="278"/>
      <c r="Z60" s="278"/>
      <c r="AA60" s="207"/>
      <c r="AB60" s="826" t="str">
        <f>IF(kombinace_2!FC2=TRUE,"Tak","Nie")</f>
        <v>Nie</v>
      </c>
      <c r="AC60" s="826"/>
      <c r="AD60" s="826"/>
      <c r="AE60" s="826"/>
      <c r="AF60" s="826"/>
      <c r="AG60" s="826"/>
      <c r="AH60" s="826"/>
      <c r="AI60" s="826"/>
      <c r="AJ60" s="826"/>
      <c r="AK60" s="826"/>
      <c r="AL60" s="826"/>
      <c r="AM60" s="826"/>
      <c r="AN60" s="826"/>
      <c r="AQ60" s="847"/>
      <c r="BC60" s="1" t="s">
        <v>2563</v>
      </c>
      <c r="BD60" s="1" t="s">
        <v>452</v>
      </c>
      <c r="BL60" s="1" t="s">
        <v>488</v>
      </c>
      <c r="BM60" s="1" t="s">
        <v>488</v>
      </c>
      <c r="BR60" s="1" t="s">
        <v>2087</v>
      </c>
      <c r="BS60" s="1" t="s">
        <v>2086</v>
      </c>
      <c r="BZ60" t="s">
        <v>2367</v>
      </c>
      <c r="CA60" t="s">
        <v>2286</v>
      </c>
      <c r="CJ60" s="401" t="s">
        <v>4025</v>
      </c>
      <c r="CK60" t="s">
        <v>4320</v>
      </c>
    </row>
    <row r="61" spans="18:89" ht="16.350000000000001" customHeight="1">
      <c r="R61" s="820">
        <f>Ram_1!AR57</f>
        <v>0</v>
      </c>
      <c r="V61" s="825" t="str">
        <f>'Translate&amp;Prices&amp;Logo'!$O$173</f>
        <v>Rodzaj szkła</v>
      </c>
      <c r="W61" s="825"/>
      <c r="X61" s="825"/>
      <c r="Y61" s="825"/>
      <c r="Z61" s="825"/>
      <c r="AA61" s="207"/>
      <c r="AB61" s="824" t="str">
        <f>IFERROR(VLOOKUP(kombinace_2!$V$1,BW48:BX50,2,0),0)</f>
        <v>Bez modyfikacji</v>
      </c>
      <c r="AC61" s="824"/>
      <c r="AD61" s="824"/>
      <c r="AE61" s="824"/>
      <c r="AF61" s="824"/>
      <c r="AG61" s="824"/>
      <c r="AH61" s="824"/>
      <c r="AI61" s="824"/>
      <c r="AJ61" s="824"/>
      <c r="AK61" s="824"/>
      <c r="AL61" s="824"/>
      <c r="AM61" s="824"/>
      <c r="AN61" s="824"/>
      <c r="AQ61" s="847"/>
      <c r="BC61" s="1" t="s">
        <v>2420</v>
      </c>
      <c r="BD61" s="1" t="s">
        <v>453</v>
      </c>
      <c r="BL61" s="1" t="s">
        <v>489</v>
      </c>
      <c r="BM61" s="1" t="s">
        <v>489</v>
      </c>
      <c r="BR61" s="1" t="s">
        <v>2089</v>
      </c>
      <c r="BS61" s="1" t="s">
        <v>2271</v>
      </c>
      <c r="BZ61" t="s">
        <v>2368</v>
      </c>
      <c r="CA61" t="s">
        <v>2287</v>
      </c>
      <c r="CJ61" s="401" t="s">
        <v>3582</v>
      </c>
      <c r="CK61" t="s">
        <v>4115</v>
      </c>
    </row>
    <row r="62" spans="18:89" ht="16.350000000000001" customHeight="1">
      <c r="R62" s="820">
        <f>Ram_1!AR58</f>
        <v>0</v>
      </c>
      <c r="V62" s="825" t="str">
        <f>'Translate&amp;Prices&amp;Logo'!$O$562</f>
        <v>Rodzaj folii</v>
      </c>
      <c r="W62" s="825"/>
      <c r="X62" s="825"/>
      <c r="Y62" s="825"/>
      <c r="Z62" s="825"/>
      <c r="AA62" s="207"/>
      <c r="AB62" s="824">
        <f>IFERROR(VLOOKUP(Ram_2!$H$24,BZ48:CA62,2,0),0)</f>
        <v>0</v>
      </c>
      <c r="AC62" s="824"/>
      <c r="AD62" s="824"/>
      <c r="AE62" s="824"/>
      <c r="AF62" s="824"/>
      <c r="AG62" s="824"/>
      <c r="AH62" s="824"/>
      <c r="AI62" s="824"/>
      <c r="AJ62" s="824"/>
      <c r="AK62" s="824"/>
      <c r="AL62" s="824"/>
      <c r="AM62" s="824"/>
      <c r="AN62" s="824"/>
      <c r="AQ62" s="847"/>
      <c r="BC62" s="1" t="s">
        <v>1660</v>
      </c>
      <c r="BD62" s="1" t="s">
        <v>2101</v>
      </c>
      <c r="BL62" s="1" t="s">
        <v>2272</v>
      </c>
      <c r="BM62" s="1" t="s">
        <v>2272</v>
      </c>
      <c r="BR62" s="1" t="s">
        <v>560</v>
      </c>
      <c r="BS62" s="1" t="s">
        <v>483</v>
      </c>
      <c r="BZ62" t="s">
        <v>2369</v>
      </c>
      <c r="CA62" t="s">
        <v>2288</v>
      </c>
      <c r="CJ62" s="401" t="s">
        <v>3545</v>
      </c>
      <c r="CK62" t="s">
        <v>3545</v>
      </c>
    </row>
    <row r="63" spans="18:89" ht="16.350000000000001" customHeight="1" thickBot="1">
      <c r="R63" s="821">
        <f>Ram_1!AR59</f>
        <v>0</v>
      </c>
      <c r="V63" s="825" t="str">
        <f>'Translate&amp;Prices&amp;Logo'!$O$173</f>
        <v>Rodzaj szkła</v>
      </c>
      <c r="W63" s="825"/>
      <c r="X63" s="825"/>
      <c r="Y63" s="825"/>
      <c r="Z63" s="825"/>
      <c r="AA63" s="207"/>
      <c r="AB63" s="824">
        <f>IFERROR(VLOOKUP(Ram_2!$H$25,kombinace_1!DT:DU,2,0),Ram_2!$H$25)</f>
        <v>0</v>
      </c>
      <c r="AC63" s="824"/>
      <c r="AD63" s="824"/>
      <c r="AE63" s="824"/>
      <c r="AF63" s="824"/>
      <c r="AG63" s="824"/>
      <c r="AH63" s="824"/>
      <c r="AI63" s="824"/>
      <c r="AJ63" s="824"/>
      <c r="AK63" s="824"/>
      <c r="AL63" s="824"/>
      <c r="AM63" s="824"/>
      <c r="AN63" s="824"/>
      <c r="AQ63" s="847"/>
      <c r="BL63" s="1" t="s">
        <v>564</v>
      </c>
      <c r="BM63" s="1" t="s">
        <v>486</v>
      </c>
      <c r="BR63" s="1" t="s">
        <v>561</v>
      </c>
      <c r="BS63" s="1" t="s">
        <v>484</v>
      </c>
      <c r="CJ63" s="401" t="s">
        <v>3546</v>
      </c>
      <c r="CK63" t="s">
        <v>3546</v>
      </c>
    </row>
    <row r="64" spans="18:89" ht="16.350000000000001" customHeight="1">
      <c r="V64" s="825" t="str">
        <f>'Translate&amp;Prices&amp;Logo'!$O$549</f>
        <v>Rozstaw uchwytu (mm)</v>
      </c>
      <c r="W64" s="825"/>
      <c r="X64" s="825"/>
      <c r="Y64" s="825"/>
      <c r="Z64" s="825"/>
      <c r="AA64" s="207"/>
      <c r="AB64" s="824">
        <f>Ram_2!$H$26</f>
        <v>0</v>
      </c>
      <c r="AC64" s="824"/>
      <c r="AD64" s="824"/>
      <c r="AE64" s="824"/>
      <c r="AF64" s="824"/>
      <c r="AG64" s="824"/>
      <c r="AH64" s="824"/>
      <c r="AI64" s="824"/>
      <c r="AJ64" s="824"/>
      <c r="AK64" s="824"/>
      <c r="AL64" s="824"/>
      <c r="AM64" s="824"/>
      <c r="AN64" s="824"/>
      <c r="AQ64" s="847"/>
      <c r="BL64" s="1" t="s">
        <v>565</v>
      </c>
      <c r="BM64" s="1" t="s">
        <v>487</v>
      </c>
      <c r="BR64" s="1" t="s">
        <v>2322</v>
      </c>
      <c r="BS64" s="1" t="s">
        <v>2086</v>
      </c>
      <c r="CJ64" s="401" t="s">
        <v>2019</v>
      </c>
      <c r="CK64" t="s">
        <v>3572</v>
      </c>
    </row>
    <row r="65" spans="1:89" ht="16.350000000000001" customHeight="1">
      <c r="V65" s="825" t="str">
        <f>'Translate&amp;Prices&amp;Logo'!$O$550</f>
        <v>Umieszczenie uchwytu</v>
      </c>
      <c r="W65" s="825"/>
      <c r="X65" s="825"/>
      <c r="Y65" s="825"/>
      <c r="Z65" s="825"/>
      <c r="AA65" s="207"/>
      <c r="AB65" s="824">
        <f>IFERROR(VLOOKUP(Ram_2!$H$27,BR48:BS67,2,0),0)</f>
        <v>0</v>
      </c>
      <c r="AC65" s="824"/>
      <c r="AD65" s="824"/>
      <c r="AE65" s="824"/>
      <c r="AF65" s="824"/>
      <c r="AG65" s="824"/>
      <c r="AH65" s="824"/>
      <c r="AI65" s="824"/>
      <c r="AJ65" s="824"/>
      <c r="AK65" s="824"/>
      <c r="AL65" s="824"/>
      <c r="AM65" s="824"/>
      <c r="AN65" s="824"/>
      <c r="AQ65" s="847"/>
      <c r="BL65" s="1" t="s">
        <v>566</v>
      </c>
      <c r="BM65" s="1" t="s">
        <v>488</v>
      </c>
      <c r="BR65" s="1" t="s">
        <v>1734</v>
      </c>
      <c r="BS65" s="1" t="s">
        <v>2271</v>
      </c>
      <c r="CJ65" s="401" t="s">
        <v>2027</v>
      </c>
      <c r="CK65" t="s">
        <v>3575</v>
      </c>
    </row>
    <row r="66" spans="1:89" ht="16.350000000000001" customHeight="1">
      <c r="V66" s="825" t="str">
        <f>('Translate&amp;Prices&amp;Logo'!$O$174)&amp;" "&amp;"-"&amp;" "&amp;('Translate&amp;Prices&amp;Logo'!$O$169)&amp;" "&amp;" "&amp;2</f>
        <v>Ilość sztuk - Ramka  2</v>
      </c>
      <c r="W66" s="825"/>
      <c r="X66" s="825"/>
      <c r="Y66" s="825"/>
      <c r="Z66" s="825"/>
      <c r="AA66" s="207"/>
      <c r="AB66" s="824">
        <f>Ram_2!$H$28</f>
        <v>0</v>
      </c>
      <c r="AC66" s="824"/>
      <c r="AD66" s="824"/>
      <c r="AE66" s="824"/>
      <c r="AF66" s="824"/>
      <c r="AG66" s="824"/>
      <c r="AH66" s="824"/>
      <c r="AI66" s="824"/>
      <c r="AJ66" s="824"/>
      <c r="AK66" s="824"/>
      <c r="AL66" s="824"/>
      <c r="AM66" s="824"/>
      <c r="AN66" s="824"/>
      <c r="AQ66" s="847"/>
      <c r="BL66" s="1" t="s">
        <v>567</v>
      </c>
      <c r="BM66" s="1" t="s">
        <v>489</v>
      </c>
      <c r="BR66" s="1" t="s">
        <v>1693</v>
      </c>
      <c r="BS66" s="1" t="s">
        <v>483</v>
      </c>
      <c r="CJ66" s="401" t="s">
        <v>2033</v>
      </c>
      <c r="CK66" t="s">
        <v>2033</v>
      </c>
    </row>
    <row r="67" spans="1:89" ht="16.350000000000001" customHeight="1">
      <c r="AD67" s="1"/>
      <c r="AE67" s="1"/>
      <c r="AQ67" s="847"/>
      <c r="BL67" s="1" t="s">
        <v>2220</v>
      </c>
      <c r="BM67" s="1" t="s">
        <v>2272</v>
      </c>
      <c r="BR67" s="1" t="s">
        <v>1694</v>
      </c>
      <c r="BS67" s="1" t="s">
        <v>484</v>
      </c>
      <c r="CJ67" s="401" t="s">
        <v>3578</v>
      </c>
      <c r="CK67" t="s">
        <v>4113</v>
      </c>
    </row>
    <row r="68" spans="1:89" ht="14.85" customHeight="1">
      <c r="AQ68" s="847"/>
      <c r="BL68" s="1" t="s">
        <v>2323</v>
      </c>
      <c r="BM68" s="1" t="s">
        <v>486</v>
      </c>
      <c r="BR68" s="286" t="s">
        <v>3275</v>
      </c>
      <c r="BS68" s="286" t="s">
        <v>3279</v>
      </c>
      <c r="CJ68" s="401" t="s">
        <v>3581</v>
      </c>
      <c r="CK68" t="s">
        <v>4114</v>
      </c>
    </row>
    <row r="69" spans="1:89" ht="14.85" customHeight="1">
      <c r="V69" s="836" t="s">
        <v>2572</v>
      </c>
      <c r="W69" s="836"/>
      <c r="X69" s="836"/>
      <c r="Y69" s="836"/>
      <c r="AD69" s="836" t="s">
        <v>2573</v>
      </c>
      <c r="AE69" s="836"/>
      <c r="AF69" s="836"/>
      <c r="AG69" s="836"/>
      <c r="AQ69" s="847"/>
      <c r="BL69" s="1" t="s">
        <v>2324</v>
      </c>
      <c r="BM69" s="1" t="s">
        <v>487</v>
      </c>
      <c r="BR69" s="286" t="s">
        <v>3276</v>
      </c>
      <c r="BS69" s="286" t="s">
        <v>3280</v>
      </c>
      <c r="CJ69" s="401" t="s">
        <v>2020</v>
      </c>
      <c r="CK69" t="s">
        <v>4012</v>
      </c>
    </row>
    <row r="70" spans="1:89" ht="14.85" customHeight="1">
      <c r="AD70" s="827"/>
      <c r="AE70" s="828"/>
      <c r="AF70" s="828"/>
      <c r="AG70" s="828"/>
      <c r="AH70" s="828"/>
      <c r="AI70" s="828"/>
      <c r="AJ70" s="828"/>
      <c r="AK70" s="828"/>
      <c r="AL70" s="828"/>
      <c r="AM70" s="829"/>
      <c r="AQ70" s="847"/>
      <c r="BL70" s="1" t="s">
        <v>2448</v>
      </c>
      <c r="BM70" s="1" t="s">
        <v>488</v>
      </c>
      <c r="BR70" s="286" t="s">
        <v>3277</v>
      </c>
      <c r="BS70" s="286" t="s">
        <v>3281</v>
      </c>
      <c r="CJ70" s="401" t="s">
        <v>2028</v>
      </c>
      <c r="CK70" t="s">
        <v>4013</v>
      </c>
    </row>
    <row r="71" spans="1:89" ht="14.85" customHeight="1">
      <c r="AD71" s="830"/>
      <c r="AE71" s="831"/>
      <c r="AF71" s="831"/>
      <c r="AG71" s="831"/>
      <c r="AH71" s="831"/>
      <c r="AI71" s="831"/>
      <c r="AJ71" s="831"/>
      <c r="AK71" s="831"/>
      <c r="AL71" s="831"/>
      <c r="AM71" s="832"/>
      <c r="AQ71" s="847"/>
      <c r="BL71" s="1" t="s">
        <v>2449</v>
      </c>
      <c r="BM71" s="1" t="s">
        <v>489</v>
      </c>
      <c r="BR71" s="286" t="s">
        <v>3278</v>
      </c>
      <c r="BS71" s="286" t="s">
        <v>3282</v>
      </c>
      <c r="CJ71" s="401" t="s">
        <v>2021</v>
      </c>
      <c r="CK71" t="s">
        <v>3573</v>
      </c>
    </row>
    <row r="72" spans="1:89" ht="14.85" customHeight="1">
      <c r="AD72" s="830"/>
      <c r="AE72" s="831"/>
      <c r="AF72" s="831"/>
      <c r="AG72" s="831"/>
      <c r="AH72" s="831"/>
      <c r="AI72" s="831"/>
      <c r="AJ72" s="831"/>
      <c r="AK72" s="831"/>
      <c r="AL72" s="831"/>
      <c r="AM72" s="832"/>
      <c r="AQ72" s="847"/>
      <c r="BL72" s="1" t="s">
        <v>1898</v>
      </c>
      <c r="BM72" s="1" t="s">
        <v>2272</v>
      </c>
      <c r="BR72" s="328" t="s">
        <v>213</v>
      </c>
      <c r="BS72" s="286" t="s">
        <v>485</v>
      </c>
      <c r="CJ72" s="401" t="s">
        <v>2000</v>
      </c>
      <c r="CK72" t="s">
        <v>2000</v>
      </c>
    </row>
    <row r="73" spans="1:89" ht="14.85" customHeight="1">
      <c r="C73" s="844">
        <f>IF(OR(Ram_2!$AC$25="x",Ram_2!$AJ$26="x",Ram_2!$AC$9="x",Ram_2!$AJ$7="x",Ram_2!$AB$16="x",Ram_2!$AM$23="x",Ram_2!$AN$19="x",Ram_2!$AD$10="x"),'Translate&amp;Prices&amp;Logo'!$B$588,0)</f>
        <v>0</v>
      </c>
      <c r="D73" s="844"/>
      <c r="E73" s="844"/>
      <c r="F73" s="844"/>
      <c r="G73" s="844"/>
      <c r="H73" s="844"/>
      <c r="I73" s="844"/>
      <c r="J73" s="844"/>
      <c r="K73" s="844"/>
      <c r="L73" s="844"/>
      <c r="M73" s="844"/>
      <c r="N73" s="844"/>
      <c r="O73" s="844"/>
      <c r="AD73" s="830"/>
      <c r="AE73" s="831"/>
      <c r="AF73" s="831"/>
      <c r="AG73" s="831"/>
      <c r="AH73" s="831"/>
      <c r="AI73" s="831"/>
      <c r="AJ73" s="831"/>
      <c r="AK73" s="831"/>
      <c r="AL73" s="831"/>
      <c r="AM73" s="832"/>
      <c r="AQ73" s="847"/>
      <c r="BR73" s="286" t="s">
        <v>419</v>
      </c>
      <c r="BS73" s="286" t="s">
        <v>485</v>
      </c>
      <c r="CJ73" s="401" t="s">
        <v>2010</v>
      </c>
      <c r="CK73" t="s">
        <v>2010</v>
      </c>
    </row>
    <row r="74" spans="1:89" ht="14.85" customHeight="1">
      <c r="AD74" s="830"/>
      <c r="AE74" s="831"/>
      <c r="AF74" s="831"/>
      <c r="AG74" s="831"/>
      <c r="AH74" s="831"/>
      <c r="AI74" s="831"/>
      <c r="AJ74" s="831"/>
      <c r="AK74" s="831"/>
      <c r="AL74" s="831"/>
      <c r="AM74" s="832"/>
      <c r="AQ74" s="847"/>
      <c r="BR74" s="286" t="s">
        <v>562</v>
      </c>
      <c r="BS74" s="286" t="s">
        <v>485</v>
      </c>
      <c r="CJ74" s="401" t="s">
        <v>2029</v>
      </c>
      <c r="CK74" t="s">
        <v>3576</v>
      </c>
    </row>
    <row r="75" spans="1:89" ht="14.85" customHeight="1" thickBot="1">
      <c r="AD75" s="830"/>
      <c r="AE75" s="831"/>
      <c r="AF75" s="831"/>
      <c r="AG75" s="831"/>
      <c r="AH75" s="831"/>
      <c r="AI75" s="831"/>
      <c r="AJ75" s="831"/>
      <c r="AK75" s="831"/>
      <c r="AL75" s="831"/>
      <c r="AM75" s="832"/>
      <c r="AQ75" s="847"/>
      <c r="BR75" s="286" t="s">
        <v>1695</v>
      </c>
      <c r="BS75" s="286" t="s">
        <v>485</v>
      </c>
      <c r="CJ75" s="401" t="s">
        <v>2024</v>
      </c>
      <c r="CK75" t="s">
        <v>3574</v>
      </c>
    </row>
    <row r="76" spans="1:89" ht="14.85" customHeight="1" thickBot="1">
      <c r="F76" s="816" t="str">
        <f>'Translate&amp;Prices&amp;Logo'!$O$175</f>
        <v>Szerokość</v>
      </c>
      <c r="G76" s="817">
        <f>Ram_1!AG66</f>
        <v>0</v>
      </c>
      <c r="H76" s="817">
        <f>Ram_1!AH66</f>
        <v>0</v>
      </c>
      <c r="I76" s="818">
        <f>Ram_2!AI30</f>
        <v>0</v>
      </c>
      <c r="J76" s="818">
        <f>Ram_1!AJ66</f>
        <v>0</v>
      </c>
      <c r="K76" s="819">
        <f>Ram_1!AK66</f>
        <v>0</v>
      </c>
      <c r="AD76" s="830"/>
      <c r="AE76" s="831"/>
      <c r="AF76" s="831"/>
      <c r="AG76" s="831"/>
      <c r="AH76" s="831"/>
      <c r="AI76" s="831"/>
      <c r="AJ76" s="831"/>
      <c r="AK76" s="831"/>
      <c r="AL76" s="831"/>
      <c r="AM76" s="832"/>
      <c r="AQ76" s="847"/>
      <c r="CJ76" s="401" t="s">
        <v>2003</v>
      </c>
      <c r="CK76" t="s">
        <v>2003</v>
      </c>
    </row>
    <row r="77" spans="1:89" ht="21" customHeight="1">
      <c r="AD77" s="833"/>
      <c r="AE77" s="834"/>
      <c r="AF77" s="834"/>
      <c r="AG77" s="834"/>
      <c r="AH77" s="834"/>
      <c r="AI77" s="834"/>
      <c r="AJ77" s="834"/>
      <c r="AK77" s="834"/>
      <c r="AL77" s="834"/>
      <c r="AM77" s="835"/>
      <c r="AQ77" s="847"/>
      <c r="CJ77" s="401" t="s">
        <v>2030</v>
      </c>
      <c r="CK77" t="s">
        <v>4014</v>
      </c>
    </row>
    <row r="78" spans="1:89" ht="14.85" customHeight="1">
      <c r="AQ78" s="847"/>
      <c r="CJ78" s="401" t="s">
        <v>2031</v>
      </c>
      <c r="CK78" t="s">
        <v>3577</v>
      </c>
    </row>
    <row r="79" spans="1:89" ht="14.85" customHeight="1">
      <c r="AQ79" s="847"/>
      <c r="CJ79" s="401" t="s">
        <v>3579</v>
      </c>
      <c r="CK79" t="s">
        <v>4116</v>
      </c>
    </row>
    <row r="80" spans="1:89" ht="14.85" customHeight="1" thickBot="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276"/>
      <c r="AE80" s="277"/>
      <c r="AF80" s="123"/>
      <c r="AG80" s="123"/>
      <c r="AH80" s="123"/>
      <c r="AI80" s="123"/>
      <c r="AJ80" s="123"/>
      <c r="AK80" s="123"/>
      <c r="AL80" s="123"/>
      <c r="AM80" s="123"/>
      <c r="AN80" s="123"/>
      <c r="AO80" s="123"/>
      <c r="AP80" s="123"/>
      <c r="AQ80" s="123"/>
      <c r="CJ80" s="401" t="s">
        <v>2012</v>
      </c>
      <c r="CK80" t="s">
        <v>2012</v>
      </c>
    </row>
    <row r="81" spans="9:89" ht="35.1" customHeight="1" thickBot="1">
      <c r="I81" s="273"/>
      <c r="J81" s="273"/>
      <c r="K81" s="273"/>
      <c r="L81" s="273"/>
      <c r="M81" s="273"/>
      <c r="N81" s="273"/>
      <c r="O81" s="273"/>
      <c r="P81" s="273"/>
      <c r="Q81" s="273"/>
      <c r="R81" s="273"/>
      <c r="S81" s="273"/>
      <c r="T81" s="273"/>
      <c r="U81" s="273"/>
      <c r="V81" s="840" t="str">
        <f>'Translate&amp;Prices&amp;Logo'!$O$256</f>
        <v>Numer zamówienia</v>
      </c>
      <c r="W81" s="840"/>
      <c r="X81" s="840"/>
      <c r="Y81" s="840"/>
      <c r="Z81" s="840"/>
      <c r="AA81" s="207"/>
      <c r="AB81" s="837"/>
      <c r="AC81" s="838"/>
      <c r="AD81" s="838"/>
      <c r="AE81" s="838"/>
      <c r="AF81" s="838"/>
      <c r="AG81" s="838"/>
      <c r="AH81" s="838"/>
      <c r="AI81" s="838"/>
      <c r="AJ81" s="838"/>
      <c r="AK81" s="838"/>
      <c r="AL81" s="838"/>
      <c r="AM81" s="838"/>
      <c r="AN81" s="839"/>
      <c r="AQ81" s="847" t="s">
        <v>2576</v>
      </c>
      <c r="CJ81" s="401" t="s">
        <v>2025</v>
      </c>
      <c r="CK81" t="s">
        <v>4015</v>
      </c>
    </row>
    <row r="82" spans="9:89" ht="16.350000000000001" customHeight="1">
      <c r="V82" s="825" t="str">
        <f>'Translate&amp;Prices&amp;Logo'!$O$542</f>
        <v>Połączenie 2 profili</v>
      </c>
      <c r="W82" s="825"/>
      <c r="X82" s="825"/>
      <c r="Y82" s="825"/>
      <c r="Z82" s="825"/>
      <c r="AA82" s="207"/>
      <c r="AB82" s="848" t="str">
        <f>IF(kombinace_3!$H$1=TRUE,"Tak","Nie")</f>
        <v>Nie</v>
      </c>
      <c r="AC82" s="848"/>
      <c r="AD82" s="848"/>
      <c r="AE82" s="848"/>
      <c r="AF82" s="848"/>
      <c r="AG82" s="848"/>
      <c r="AH82" s="848"/>
      <c r="AI82" s="848"/>
      <c r="AJ82" s="848"/>
      <c r="AK82" s="848"/>
      <c r="AL82" s="848"/>
      <c r="AM82" s="848"/>
      <c r="AN82" s="848"/>
      <c r="AQ82" s="847"/>
      <c r="CJ82" s="401" t="s">
        <v>3580</v>
      </c>
      <c r="CK82" t="s">
        <v>4117</v>
      </c>
    </row>
    <row r="83" spans="9:89" ht="16.350000000000001" customHeight="1">
      <c r="V83" s="825" t="str">
        <f>'Translate&amp;Prices&amp;Logo'!$O$172</f>
        <v>Rodzaj profilu</v>
      </c>
      <c r="W83" s="825"/>
      <c r="X83" s="825"/>
      <c r="Y83" s="825"/>
      <c r="Z83" s="825"/>
      <c r="AA83" s="207"/>
      <c r="AB83" s="824">
        <f>IFERROR(VLOOKUP(Ram_3!$H$8,'Translate&amp;Prices&amp;Logo'!AA:AB,2,0),Ram_3!$H$8)</f>
        <v>0</v>
      </c>
      <c r="AC83" s="824"/>
      <c r="AD83" s="824"/>
      <c r="AE83" s="824"/>
      <c r="AF83" s="824"/>
      <c r="AG83" s="824"/>
      <c r="AH83" s="824"/>
      <c r="AI83" s="824"/>
      <c r="AJ83" s="824"/>
      <c r="AK83" s="824"/>
      <c r="AL83" s="824"/>
      <c r="AM83" s="824"/>
      <c r="AN83" s="824"/>
      <c r="AQ83" s="847"/>
      <c r="CJ83" s="401" t="s">
        <v>3583</v>
      </c>
      <c r="CK83" t="s">
        <v>4118</v>
      </c>
    </row>
    <row r="84" spans="9:89" ht="16.350000000000001" customHeight="1">
      <c r="V84" s="825" t="str">
        <f>'Translate&amp;Prices&amp;Logo'!$O$543</f>
        <v>Szprosy</v>
      </c>
      <c r="W84" s="825"/>
      <c r="X84" s="825"/>
      <c r="Y84" s="825"/>
      <c r="Z84" s="825"/>
      <c r="AA84" s="207"/>
      <c r="AB84" s="824" t="str">
        <f>IFERROR(VLOOKUP(Ram_3!$AU$10,AT84:AU87,2,0),0)</f>
        <v>Nie</v>
      </c>
      <c r="AC84" s="824"/>
      <c r="AD84" s="824"/>
      <c r="AE84" s="824"/>
      <c r="AF84" s="824"/>
      <c r="AG84" s="824"/>
      <c r="AH84" s="824"/>
      <c r="AI84" s="824"/>
      <c r="AJ84" s="824"/>
      <c r="AK84" s="824"/>
      <c r="AL84" s="824"/>
      <c r="AM84" s="824"/>
      <c r="AN84" s="824"/>
      <c r="AQ84" s="847"/>
      <c r="AT84">
        <v>0</v>
      </c>
      <c r="AU84" t="str">
        <f>'Translate&amp;Prices&amp;Logo'!$O$557</f>
        <v>Nie</v>
      </c>
      <c r="AY84">
        <v>2</v>
      </c>
      <c r="AZ84" t="str">
        <f>'Translate&amp;Prices&amp;Logo'!$O$551</f>
        <v>Zawiasy</v>
      </c>
      <c r="BC84" s="1" t="s">
        <v>98</v>
      </c>
      <c r="BD84" s="1" t="s">
        <v>452</v>
      </c>
      <c r="BH84" s="1" t="s">
        <v>75</v>
      </c>
      <c r="BI84" s="1" t="s">
        <v>446</v>
      </c>
      <c r="BL84" s="1" t="s">
        <v>215</v>
      </c>
      <c r="BM84" s="1" t="s">
        <v>486</v>
      </c>
      <c r="BR84" s="1" t="s">
        <v>221</v>
      </c>
      <c r="BS84" s="1" t="s">
        <v>2086</v>
      </c>
      <c r="BW84" s="1">
        <v>1</v>
      </c>
      <c r="BX84" s="1" t="str">
        <f>'Translate&amp;Prices&amp;Logo'!$O$100</f>
        <v>Bez modyfikacji</v>
      </c>
      <c r="BZ84" t="s">
        <v>1886</v>
      </c>
      <c r="CA84" t="s">
        <v>2286</v>
      </c>
      <c r="CJ84" s="401" t="s">
        <v>2026</v>
      </c>
      <c r="CK84" t="s">
        <v>4016</v>
      </c>
    </row>
    <row r="85" spans="9:89" ht="16.350000000000001" customHeight="1">
      <c r="V85" s="278"/>
      <c r="W85" s="278"/>
      <c r="X85" s="278"/>
      <c r="Y85" s="278"/>
      <c r="Z85" s="278"/>
      <c r="AA85" s="207"/>
      <c r="AB85" s="849" t="str">
        <f>'Translate&amp;Prices&amp;Logo'!$O$558</f>
        <v>Poziomo (termin dostawy 4 tygodnie)</v>
      </c>
      <c r="AC85" s="849"/>
      <c r="AD85" s="849"/>
      <c r="AE85" s="849"/>
      <c r="AF85" s="849"/>
      <c r="AG85" s="849"/>
      <c r="AH85" s="849"/>
      <c r="AI85" s="849" t="str">
        <f>'Translate&amp;Prices&amp;Logo'!$O$559</f>
        <v>Pionowo (termin dostawy 4 tygodnie)</v>
      </c>
      <c r="AJ85" s="849"/>
      <c r="AK85" s="849"/>
      <c r="AL85" s="849"/>
      <c r="AM85" s="849"/>
      <c r="AN85" s="849"/>
      <c r="AQ85" s="847"/>
      <c r="AT85">
        <v>1</v>
      </c>
      <c r="AU85" t="str">
        <f>'Translate&amp;Prices&amp;Logo'!$O$558</f>
        <v>Poziomo (termin dostawy 4 tygodnie)</v>
      </c>
      <c r="AY85">
        <v>3</v>
      </c>
      <c r="AZ85" t="str">
        <f>'Translate&amp;Prices&amp;Logo'!$O$552</f>
        <v>Podnośniki</v>
      </c>
      <c r="BC85" s="1" t="s">
        <v>99</v>
      </c>
      <c r="BD85" s="1" t="s">
        <v>453</v>
      </c>
      <c r="BH85" s="1" t="s">
        <v>74</v>
      </c>
      <c r="BI85" s="1" t="s">
        <v>447</v>
      </c>
      <c r="BL85" s="1" t="s">
        <v>216</v>
      </c>
      <c r="BM85" s="1" t="s">
        <v>487</v>
      </c>
      <c r="BR85" s="1" t="s">
        <v>222</v>
      </c>
      <c r="BS85" s="1" t="s">
        <v>2271</v>
      </c>
      <c r="BW85" s="1">
        <v>2</v>
      </c>
      <c r="BX85" s="1" t="str">
        <f>'Translate&amp;Prices&amp;Logo'!$O$101</f>
        <v>Hartowane</v>
      </c>
      <c r="BZ85" t="s">
        <v>1889</v>
      </c>
      <c r="CA85" t="s">
        <v>2287</v>
      </c>
      <c r="CJ85" s="401" t="s">
        <v>2032</v>
      </c>
      <c r="CK85" t="s">
        <v>4017</v>
      </c>
    </row>
    <row r="86" spans="9:89" ht="16.350000000000001" customHeight="1">
      <c r="V86" s="825" t="str">
        <f>('Translate&amp;Prices&amp;Logo'!$O$543)&amp;" "&amp;"("&amp;'Translate&amp;Prices&amp;Logo'!$O$174&amp;")"</f>
        <v>Szprosy (Ilość sztuk)</v>
      </c>
      <c r="W86" s="825"/>
      <c r="X86" s="825"/>
      <c r="Y86" s="825"/>
      <c r="Z86" s="825"/>
      <c r="AA86" s="207"/>
      <c r="AB86" s="824">
        <f>Ram_3!$H$11</f>
        <v>0</v>
      </c>
      <c r="AC86" s="824"/>
      <c r="AD86" s="824"/>
      <c r="AE86" s="824"/>
      <c r="AF86" s="824"/>
      <c r="AG86" s="824"/>
      <c r="AH86" s="824"/>
      <c r="AI86" s="824">
        <f>Ram_3!$M$11</f>
        <v>0</v>
      </c>
      <c r="AJ86" s="824"/>
      <c r="AK86" s="824"/>
      <c r="AL86" s="824"/>
      <c r="AM86" s="824"/>
      <c r="AN86" s="824"/>
      <c r="AQ86" s="847"/>
      <c r="AT86">
        <v>2</v>
      </c>
      <c r="AU86" t="str">
        <f>'Translate&amp;Prices&amp;Logo'!$O$559</f>
        <v>Pionowo (termin dostawy 4 tygodnie)</v>
      </c>
      <c r="BC86" s="1" t="s">
        <v>100</v>
      </c>
      <c r="BD86" s="1" t="s">
        <v>2101</v>
      </c>
      <c r="BH86" s="1" t="s">
        <v>387</v>
      </c>
      <c r="BI86" s="1" t="s">
        <v>446</v>
      </c>
      <c r="BL86" s="1" t="s">
        <v>218</v>
      </c>
      <c r="BM86" s="1" t="s">
        <v>488</v>
      </c>
      <c r="BR86" s="1" t="s">
        <v>212</v>
      </c>
      <c r="BS86" s="1" t="s">
        <v>483</v>
      </c>
      <c r="BW86" s="1">
        <v>3</v>
      </c>
      <c r="BX86" s="1" t="str">
        <f>'Translate&amp;Prices&amp;Logo'!$O$102</f>
        <v>Folia</v>
      </c>
      <c r="BZ86" t="s">
        <v>1892</v>
      </c>
      <c r="CA86" t="s">
        <v>2288</v>
      </c>
      <c r="CJ86" s="402" t="s">
        <v>3606</v>
      </c>
      <c r="CK86" t="s">
        <v>3606</v>
      </c>
    </row>
    <row r="87" spans="9:89" ht="16.350000000000001" customHeight="1">
      <c r="V87" s="825" t="str">
        <f>'Translate&amp;Prices&amp;Logo'!$O$258</f>
        <v>Typ okucia</v>
      </c>
      <c r="W87" s="825"/>
      <c r="X87" s="825"/>
      <c r="Y87" s="825"/>
      <c r="Z87" s="825"/>
      <c r="AA87" s="207"/>
      <c r="AB87" s="824">
        <f>IFERROR(VLOOKUP(Ram_3!$AU$9,AY84:AZ85,2,0),0)</f>
        <v>0</v>
      </c>
      <c r="AC87" s="824"/>
      <c r="AD87" s="824"/>
      <c r="AE87" s="824"/>
      <c r="AF87" s="824"/>
      <c r="AG87" s="824"/>
      <c r="AH87" s="824"/>
      <c r="AI87" s="824"/>
      <c r="AJ87" s="824"/>
      <c r="AK87" s="824"/>
      <c r="AL87" s="824"/>
      <c r="AM87" s="824"/>
      <c r="AN87" s="824"/>
      <c r="AQ87" s="847"/>
      <c r="AT87">
        <v>3</v>
      </c>
      <c r="AU87" t="str">
        <f>'Translate&amp;Prices&amp;Logo'!$O$560</f>
        <v>Poziomo i pionowo (termin dostawy 4 tygodnie)</v>
      </c>
      <c r="BC87" s="1" t="s">
        <v>98</v>
      </c>
      <c r="BD87" s="1" t="s">
        <v>452</v>
      </c>
      <c r="BH87" s="1" t="s">
        <v>388</v>
      </c>
      <c r="BI87" s="1" t="s">
        <v>447</v>
      </c>
      <c r="BL87" s="1" t="s">
        <v>217</v>
      </c>
      <c r="BM87" s="1" t="s">
        <v>489</v>
      </c>
      <c r="BR87" s="1" t="s">
        <v>211</v>
      </c>
      <c r="BS87" s="1" t="s">
        <v>484</v>
      </c>
      <c r="BZ87" t="s">
        <v>2175</v>
      </c>
      <c r="CA87" t="s">
        <v>2286</v>
      </c>
      <c r="CJ87" s="402" t="s">
        <v>3607</v>
      </c>
      <c r="CK87" t="s">
        <v>3607</v>
      </c>
    </row>
    <row r="88" spans="9:89" ht="16.350000000000001" customHeight="1">
      <c r="V88" s="825" t="str">
        <f>'Translate&amp;Prices&amp;Logo'!$O$544</f>
        <v>Marka okucia</v>
      </c>
      <c r="W88" s="825"/>
      <c r="X88" s="825"/>
      <c r="Y88" s="825"/>
      <c r="Z88" s="825"/>
      <c r="AA88" s="207"/>
      <c r="AB88" s="824">
        <f>Ram_3!$H$13</f>
        <v>0</v>
      </c>
      <c r="AC88" s="824"/>
      <c r="AD88" s="824"/>
      <c r="AE88" s="824"/>
      <c r="AF88" s="824"/>
      <c r="AG88" s="824"/>
      <c r="AH88" s="824"/>
      <c r="AI88" s="824"/>
      <c r="AJ88" s="824"/>
      <c r="AK88" s="824"/>
      <c r="AL88" s="824"/>
      <c r="AM88" s="824"/>
      <c r="AN88" s="824"/>
      <c r="AQ88" s="847"/>
      <c r="BC88" s="1" t="s">
        <v>99</v>
      </c>
      <c r="BD88" s="1" t="s">
        <v>453</v>
      </c>
      <c r="BH88" s="1" t="s">
        <v>705</v>
      </c>
      <c r="BI88" s="1" t="s">
        <v>446</v>
      </c>
      <c r="BL88" s="1" t="s">
        <v>219</v>
      </c>
      <c r="BM88" s="1" t="s">
        <v>2272</v>
      </c>
      <c r="BR88" s="1" t="s">
        <v>2088</v>
      </c>
      <c r="BS88" s="1" t="s">
        <v>2086</v>
      </c>
      <c r="BZ88" t="s">
        <v>2176</v>
      </c>
      <c r="CA88" t="s">
        <v>2287</v>
      </c>
      <c r="CJ88" s="402" t="s">
        <v>4026</v>
      </c>
      <c r="CK88" t="s">
        <v>4320</v>
      </c>
    </row>
    <row r="89" spans="9:89" ht="16.350000000000001" customHeight="1" thickBot="1">
      <c r="V89" s="825" t="str">
        <f>'Translate&amp;Prices&amp;Logo'!$O$546</f>
        <v>Nałożenie</v>
      </c>
      <c r="W89" s="825"/>
      <c r="X89" s="825"/>
      <c r="Y89" s="825"/>
      <c r="Z89" s="825"/>
      <c r="AA89" s="207"/>
      <c r="AB89" s="824">
        <f>IFERROR(VLOOKUP(Ram_3!$H$14,BC84:BD98,2,0),0)</f>
        <v>0</v>
      </c>
      <c r="AC89" s="824"/>
      <c r="AD89" s="824"/>
      <c r="AE89" s="824"/>
      <c r="AF89" s="824"/>
      <c r="AG89" s="824"/>
      <c r="AH89" s="824"/>
      <c r="AI89" s="824"/>
      <c r="AJ89" s="824"/>
      <c r="AK89" s="824"/>
      <c r="AL89" s="824"/>
      <c r="AM89" s="824"/>
      <c r="AN89" s="824"/>
      <c r="AQ89" s="847"/>
      <c r="BC89" s="1" t="s">
        <v>100</v>
      </c>
      <c r="BD89" s="1" t="s">
        <v>2101</v>
      </c>
      <c r="BH89" s="1" t="s">
        <v>523</v>
      </c>
      <c r="BI89" s="1" t="s">
        <v>447</v>
      </c>
      <c r="BL89" s="1" t="s">
        <v>421</v>
      </c>
      <c r="BM89" s="1" t="s">
        <v>486</v>
      </c>
      <c r="BR89" s="1" t="s">
        <v>222</v>
      </c>
      <c r="BS89" s="1" t="s">
        <v>2271</v>
      </c>
      <c r="BZ89" t="s">
        <v>2177</v>
      </c>
      <c r="CA89" t="s">
        <v>2288</v>
      </c>
      <c r="CJ89" s="402" t="s">
        <v>4027</v>
      </c>
      <c r="CK89" t="s">
        <v>4115</v>
      </c>
    </row>
    <row r="90" spans="9:89" ht="16.350000000000001" customHeight="1">
      <c r="R90" s="822">
        <f>Ram_3!AR14</f>
        <v>0</v>
      </c>
      <c r="V90" s="825" t="str">
        <f>'Translate&amp;Prices&amp;Logo'!$O$545</f>
        <v>Wariant okucia</v>
      </c>
      <c r="W90" s="825"/>
      <c r="X90" s="825"/>
      <c r="Y90" s="825"/>
      <c r="Z90" s="825"/>
      <c r="AA90" s="207"/>
      <c r="AB90" s="824">
        <f>IFERROR(VLOOKUP(Ram_3!$H$15,kombinace_1!$ED:$EE,2,0),Ram_3!$H$15)</f>
        <v>0</v>
      </c>
      <c r="AC90" s="824"/>
      <c r="AD90" s="824"/>
      <c r="AE90" s="824"/>
      <c r="AF90" s="824"/>
      <c r="AG90" s="824"/>
      <c r="AH90" s="824" t="str">
        <f>IF(AB90='Translate&amp;Prices&amp;Logo'!C698,VLOOKUP(Ram_3!H17,'Translate&amp;Prices&amp;Logo'!C699:D718,2,0),"")</f>
        <v/>
      </c>
      <c r="AI90" s="824"/>
      <c r="AJ90" s="824"/>
      <c r="AK90" s="824"/>
      <c r="AL90" s="824"/>
      <c r="AM90" s="824"/>
      <c r="AN90" s="824"/>
      <c r="AQ90" s="847"/>
      <c r="BC90" s="1" t="s">
        <v>452</v>
      </c>
      <c r="BD90" s="1" t="s">
        <v>452</v>
      </c>
      <c r="BH90" s="1" t="s">
        <v>2315</v>
      </c>
      <c r="BI90" s="1" t="s">
        <v>446</v>
      </c>
      <c r="BL90" s="1" t="s">
        <v>422</v>
      </c>
      <c r="BM90" s="1" t="s">
        <v>487</v>
      </c>
      <c r="BR90" s="1" t="s">
        <v>417</v>
      </c>
      <c r="BS90" s="1" t="s">
        <v>483</v>
      </c>
      <c r="BZ90" t="s">
        <v>2286</v>
      </c>
      <c r="CA90" t="s">
        <v>2286</v>
      </c>
      <c r="CJ90" s="402" t="s">
        <v>3545</v>
      </c>
      <c r="CK90" t="s">
        <v>3545</v>
      </c>
    </row>
    <row r="91" spans="9:89" ht="16.350000000000001" customHeight="1">
      <c r="R91" s="823">
        <f>Ram_1!AR87</f>
        <v>0</v>
      </c>
      <c r="V91" s="825" t="str">
        <f>'Translate&amp;Prices&amp;Logo'!$O$218</f>
        <v>Wybierz pozycję ramki</v>
      </c>
      <c r="W91" s="825"/>
      <c r="X91" s="825"/>
      <c r="Y91" s="825"/>
      <c r="Z91" s="825"/>
      <c r="AA91" s="824">
        <f>IFERROR(VLOOKUP(Ram_3!$F$16,BH84:BI93,2,0),0)</f>
        <v>0</v>
      </c>
      <c r="AB91" s="824"/>
      <c r="AC91" s="824"/>
      <c r="AD91" s="824"/>
      <c r="AE91" s="824"/>
      <c r="AF91" s="825" t="str">
        <f>'Translate&amp;Prices&amp;Logo'!$O$232</f>
        <v>Rodzaj drugiej ramki</v>
      </c>
      <c r="AG91" s="825"/>
      <c r="AH91" s="825"/>
      <c r="AI91" s="825"/>
      <c r="AJ91" s="825"/>
      <c r="AK91" s="824">
        <f>IFERROR(VLOOKUP(Ram_3!$N$16,BL84:BM108,2,0),0)</f>
        <v>0</v>
      </c>
      <c r="AL91" s="824"/>
      <c r="AM91" s="824"/>
      <c r="AN91" s="824"/>
      <c r="AQ91" s="847"/>
      <c r="BC91" s="1" t="s">
        <v>453</v>
      </c>
      <c r="BD91" s="1" t="s">
        <v>453</v>
      </c>
      <c r="BH91" s="1" t="s">
        <v>2316</v>
      </c>
      <c r="BI91" s="1" t="s">
        <v>447</v>
      </c>
      <c r="BL91" s="1" t="s">
        <v>423</v>
      </c>
      <c r="BM91" s="1" t="s">
        <v>488</v>
      </c>
      <c r="BR91" s="1" t="s">
        <v>418</v>
      </c>
      <c r="BS91" s="1" t="s">
        <v>484</v>
      </c>
      <c r="BZ91" t="s">
        <v>2287</v>
      </c>
      <c r="CA91" t="s">
        <v>2287</v>
      </c>
      <c r="CJ91" s="402" t="s">
        <v>3546</v>
      </c>
      <c r="CK91" t="s">
        <v>3546</v>
      </c>
    </row>
    <row r="92" spans="9:89" ht="16.350000000000001" customHeight="1">
      <c r="R92" s="823">
        <f>Ram_1!AR88</f>
        <v>0</v>
      </c>
      <c r="V92" s="825" t="str">
        <f>IF(AB87='Translate&amp;Prices&amp;Logo'!O551,'Translate&amp;Prices&amp;Logo'!O238,'Translate&amp;Prices&amp;Logo'!$O$226)</f>
        <v>Umieszczenie</v>
      </c>
      <c r="W92" s="825"/>
      <c r="X92" s="825"/>
      <c r="Y92" s="825"/>
      <c r="Z92" s="825"/>
      <c r="AA92" s="207"/>
      <c r="AB92" s="824" t="str">
        <f>IFERROR((IF(Ram_3!H12='Translate&amp;Prices&amp;Logo'!B552,VLOOKUP(Ram_3!$N$16,BR48:BS67,2,0),VLOOKUP(Ram_3!$H$17,BR48:BS67,2,0))),"")</f>
        <v/>
      </c>
      <c r="AC92" s="824"/>
      <c r="AD92" s="824"/>
      <c r="AE92" s="824"/>
      <c r="AF92" s="824"/>
      <c r="AG92" s="824"/>
      <c r="AH92" s="824"/>
      <c r="AI92" s="824"/>
      <c r="AJ92" s="824"/>
      <c r="AK92" s="824"/>
      <c r="AL92" s="824"/>
      <c r="AM92" s="824"/>
      <c r="AN92" s="824"/>
      <c r="AQ92" s="847"/>
      <c r="BC92" s="1" t="s">
        <v>2101</v>
      </c>
      <c r="BD92" s="1" t="s">
        <v>2101</v>
      </c>
      <c r="BH92" s="1" t="s">
        <v>446</v>
      </c>
      <c r="BI92" s="1" t="s">
        <v>446</v>
      </c>
      <c r="BL92" s="1" t="s">
        <v>424</v>
      </c>
      <c r="BM92" s="1" t="s">
        <v>489</v>
      </c>
      <c r="BR92" s="1" t="s">
        <v>2086</v>
      </c>
      <c r="BS92" s="1" t="s">
        <v>2086</v>
      </c>
      <c r="BZ92" t="s">
        <v>2288</v>
      </c>
      <c r="CA92" t="s">
        <v>2288</v>
      </c>
      <c r="CJ92" s="402" t="s">
        <v>4028</v>
      </c>
      <c r="CK92" t="s">
        <v>3572</v>
      </c>
    </row>
    <row r="93" spans="9:89" ht="16.350000000000001" customHeight="1">
      <c r="R93" s="823">
        <f>Ram_1!AR89</f>
        <v>0</v>
      </c>
      <c r="V93" s="825" t="str">
        <f>'Translate&amp;Prices&amp;Logo'!$O$547</f>
        <v>Zawiasy do podnośników</v>
      </c>
      <c r="W93" s="825"/>
      <c r="X93" s="825"/>
      <c r="Y93" s="825"/>
      <c r="Z93" s="825"/>
      <c r="AA93" s="207"/>
      <c r="AB93" s="824" t="str">
        <f>IFERROR((VLOOKUP(Ram_3!$H$18,CJ:CK,2,0)),"")</f>
        <v/>
      </c>
      <c r="AC93" s="824"/>
      <c r="AD93" s="824"/>
      <c r="AE93" s="824"/>
      <c r="AF93" s="824"/>
      <c r="AG93" s="824"/>
      <c r="AH93" s="824"/>
      <c r="AI93" s="824"/>
      <c r="AJ93" s="824"/>
      <c r="AK93" s="824"/>
      <c r="AL93" s="824"/>
      <c r="AM93" s="824"/>
      <c r="AN93" s="824"/>
      <c r="AQ93" s="847"/>
      <c r="BC93" s="1" t="s">
        <v>528</v>
      </c>
      <c r="BD93" s="1" t="s">
        <v>452</v>
      </c>
      <c r="BH93" s="1" t="s">
        <v>447</v>
      </c>
      <c r="BI93" s="1" t="s">
        <v>447</v>
      </c>
      <c r="BL93" s="1" t="s">
        <v>425</v>
      </c>
      <c r="BM93" s="1" t="s">
        <v>2272</v>
      </c>
      <c r="BR93" s="1" t="s">
        <v>2271</v>
      </c>
      <c r="BS93" s="1" t="s">
        <v>2271</v>
      </c>
      <c r="BZ93" t="s">
        <v>2178</v>
      </c>
      <c r="CA93" t="s">
        <v>2286</v>
      </c>
      <c r="CJ93" s="402" t="s">
        <v>4029</v>
      </c>
      <c r="CK93" t="s">
        <v>3575</v>
      </c>
    </row>
    <row r="94" spans="9:89" ht="16.350000000000001" customHeight="1">
      <c r="R94" s="823">
        <f>Ram_1!AR90</f>
        <v>0</v>
      </c>
      <c r="V94" s="825" t="str">
        <f>'Translate&amp;Prices&amp;Logo'!$O$223</f>
        <v>Ilość zawiasów na 1 ramkę</v>
      </c>
      <c r="W94" s="825"/>
      <c r="X94" s="825"/>
      <c r="Y94" s="825"/>
      <c r="Z94" s="825"/>
      <c r="AA94" s="207"/>
      <c r="AB94" s="824">
        <f>Ram_3!$H$19</f>
        <v>0</v>
      </c>
      <c r="AC94" s="824"/>
      <c r="AD94" s="824"/>
      <c r="AE94" s="824"/>
      <c r="AF94" s="824"/>
      <c r="AG94" s="824"/>
      <c r="AH94" s="824"/>
      <c r="AI94" s="824"/>
      <c r="AJ94" s="824"/>
      <c r="AK94" s="824"/>
      <c r="AL94" s="824"/>
      <c r="AM94" s="824"/>
      <c r="AN94" s="824"/>
      <c r="AQ94" s="847"/>
      <c r="BC94" s="1" t="s">
        <v>529</v>
      </c>
      <c r="BD94" s="1" t="s">
        <v>453</v>
      </c>
      <c r="BL94" s="1" t="s">
        <v>486</v>
      </c>
      <c r="BM94" s="1" t="s">
        <v>486</v>
      </c>
      <c r="BR94" s="1" t="s">
        <v>483</v>
      </c>
      <c r="BS94" s="1" t="s">
        <v>483</v>
      </c>
      <c r="BZ94" t="s">
        <v>2261</v>
      </c>
      <c r="CA94" t="s">
        <v>2287</v>
      </c>
      <c r="CJ94" s="402" t="s">
        <v>2033</v>
      </c>
      <c r="CK94" t="s">
        <v>2033</v>
      </c>
    </row>
    <row r="95" spans="9:89" ht="16.350000000000001" customHeight="1">
      <c r="R95" s="820" t="str">
        <f>'Translate&amp;Prices&amp;Logo'!$O$176</f>
        <v>Wysokość</v>
      </c>
      <c r="V95" s="825" t="str">
        <f>IFERROR(('Translate&amp;Prices&amp;Logo'!$O$242&amp;" "&amp;VLOOKUP(Ram_3!H17,kombinace_1!$BY$32:$CC$35,5,0)),"")</f>
        <v/>
      </c>
      <c r="W95" s="825"/>
      <c r="X95" s="825"/>
      <c r="Y95" s="825"/>
      <c r="Z95" s="825"/>
      <c r="AA95" s="207"/>
      <c r="AB95" s="824">
        <f>Ram_3!$F$20</f>
        <v>100</v>
      </c>
      <c r="AC95" s="824"/>
      <c r="AD95" s="824"/>
      <c r="AE95" s="824"/>
      <c r="AF95" s="825" t="str">
        <f>IFERROR(('Translate&amp;Prices&amp;Logo'!$O$242&amp;" "&amp;VLOOKUP(Ram_3!H17,kombinace_1!$BY$32:$CD$35,6,0)),"")</f>
        <v/>
      </c>
      <c r="AG95" s="825"/>
      <c r="AH95" s="825"/>
      <c r="AI95" s="825"/>
      <c r="AJ95" s="825"/>
      <c r="AK95" s="824">
        <f>Ram_3!$N$20</f>
        <v>100</v>
      </c>
      <c r="AL95" s="824"/>
      <c r="AM95" s="824"/>
      <c r="AN95" s="824"/>
      <c r="AQ95" s="847"/>
      <c r="BC95" s="1" t="s">
        <v>530</v>
      </c>
      <c r="BD95" s="1" t="s">
        <v>2101</v>
      </c>
      <c r="BL95" s="1" t="s">
        <v>487</v>
      </c>
      <c r="BM95" s="1" t="s">
        <v>487</v>
      </c>
      <c r="BR95" s="1" t="s">
        <v>484</v>
      </c>
      <c r="BS95" s="1" t="s">
        <v>484</v>
      </c>
      <c r="BZ95" t="s">
        <v>2179</v>
      </c>
      <c r="CA95" t="s">
        <v>2288</v>
      </c>
      <c r="CJ95" s="402" t="s">
        <v>4030</v>
      </c>
      <c r="CK95" t="s">
        <v>4113</v>
      </c>
    </row>
    <row r="96" spans="9:89" ht="16.350000000000001" customHeight="1">
      <c r="R96" s="820">
        <f>Ram_1!AR92</f>
        <v>0</v>
      </c>
      <c r="V96" s="403" t="str">
        <f>'Translate&amp;Prices&amp;Logo'!$O$653</f>
        <v>Wypełnienie z siatki</v>
      </c>
      <c r="W96" s="278"/>
      <c r="X96" s="278"/>
      <c r="Y96" s="278"/>
      <c r="Z96" s="278"/>
      <c r="AA96" s="207"/>
      <c r="AB96" s="826" t="str">
        <f>IF(kombinace_3!FC2=TRUE,"Tak","Nie")</f>
        <v>Nie</v>
      </c>
      <c r="AC96" s="826"/>
      <c r="AD96" s="826"/>
      <c r="AE96" s="826"/>
      <c r="AF96" s="826"/>
      <c r="AG96" s="826"/>
      <c r="AH96" s="826"/>
      <c r="AI96" s="826"/>
      <c r="AJ96" s="826"/>
      <c r="AK96" s="826"/>
      <c r="AL96" s="826"/>
      <c r="AM96" s="826"/>
      <c r="AN96" s="826"/>
      <c r="AQ96" s="847"/>
      <c r="BC96" s="1" t="s">
        <v>2563</v>
      </c>
      <c r="BD96" s="1" t="s">
        <v>452</v>
      </c>
      <c r="BL96" s="1" t="s">
        <v>488</v>
      </c>
      <c r="BM96" s="1" t="s">
        <v>488</v>
      </c>
      <c r="BR96" s="1" t="s">
        <v>2087</v>
      </c>
      <c r="BS96" s="1" t="s">
        <v>2086</v>
      </c>
      <c r="BZ96" t="s">
        <v>2367</v>
      </c>
      <c r="CA96" t="s">
        <v>2286</v>
      </c>
      <c r="CJ96" s="402" t="s">
        <v>4031</v>
      </c>
      <c r="CK96" t="s">
        <v>4114</v>
      </c>
    </row>
    <row r="97" spans="3:89" ht="16.350000000000001" customHeight="1">
      <c r="R97" s="820">
        <f>Ram_1!AR93</f>
        <v>0</v>
      </c>
      <c r="V97" s="825" t="str">
        <f>'Translate&amp;Prices&amp;Logo'!$O$173</f>
        <v>Rodzaj szkła</v>
      </c>
      <c r="W97" s="825"/>
      <c r="X97" s="825"/>
      <c r="Y97" s="825"/>
      <c r="Z97" s="825"/>
      <c r="AA97" s="207"/>
      <c r="AB97" s="824" t="str">
        <f>IFERROR(VLOOKUP(kombinace_3!$V$1,BW84:BX86,2,0),0)</f>
        <v>Bez modyfikacji</v>
      </c>
      <c r="AC97" s="824"/>
      <c r="AD97" s="824"/>
      <c r="AE97" s="824"/>
      <c r="AF97" s="824"/>
      <c r="AG97" s="824"/>
      <c r="AH97" s="824"/>
      <c r="AI97" s="824"/>
      <c r="AJ97" s="824"/>
      <c r="AK97" s="824"/>
      <c r="AL97" s="824"/>
      <c r="AM97" s="824"/>
      <c r="AN97" s="824"/>
      <c r="AQ97" s="847"/>
      <c r="BC97" s="1" t="s">
        <v>2420</v>
      </c>
      <c r="BD97" s="1" t="s">
        <v>453</v>
      </c>
      <c r="BL97" s="1" t="s">
        <v>489</v>
      </c>
      <c r="BM97" s="1" t="s">
        <v>489</v>
      </c>
      <c r="BR97" s="1" t="s">
        <v>2089</v>
      </c>
      <c r="BS97" s="1" t="s">
        <v>2271</v>
      </c>
      <c r="BZ97" t="s">
        <v>2368</v>
      </c>
      <c r="CA97" t="s">
        <v>2287</v>
      </c>
      <c r="CJ97" s="402" t="s">
        <v>4032</v>
      </c>
      <c r="CK97" t="s">
        <v>4012</v>
      </c>
    </row>
    <row r="98" spans="3:89" ht="16.350000000000001" customHeight="1">
      <c r="R98" s="820">
        <f>Ram_1!AR94</f>
        <v>0</v>
      </c>
      <c r="V98" s="825" t="str">
        <f>'Translate&amp;Prices&amp;Logo'!$O$562</f>
        <v>Rodzaj folii</v>
      </c>
      <c r="W98" s="825"/>
      <c r="X98" s="825"/>
      <c r="Y98" s="825"/>
      <c r="Z98" s="825"/>
      <c r="AA98" s="207"/>
      <c r="AB98" s="824">
        <f>IFERROR(VLOOKUP(Ram_3!$H$24,BZ84:CA98,2,0),0)</f>
        <v>0</v>
      </c>
      <c r="AC98" s="824"/>
      <c r="AD98" s="824"/>
      <c r="AE98" s="824"/>
      <c r="AF98" s="824"/>
      <c r="AG98" s="824"/>
      <c r="AH98" s="824"/>
      <c r="AI98" s="824"/>
      <c r="AJ98" s="824"/>
      <c r="AK98" s="824"/>
      <c r="AL98" s="824"/>
      <c r="AM98" s="824"/>
      <c r="AN98" s="824"/>
      <c r="AQ98" s="847"/>
      <c r="BC98" s="1" t="s">
        <v>1660</v>
      </c>
      <c r="BD98" s="1" t="s">
        <v>2101</v>
      </c>
      <c r="BL98" s="1" t="s">
        <v>2272</v>
      </c>
      <c r="BM98" s="1" t="s">
        <v>2272</v>
      </c>
      <c r="BR98" s="1" t="s">
        <v>560</v>
      </c>
      <c r="BS98" s="1" t="s">
        <v>483</v>
      </c>
      <c r="BZ98" t="s">
        <v>2369</v>
      </c>
      <c r="CA98" t="s">
        <v>2288</v>
      </c>
      <c r="CJ98" s="402" t="s">
        <v>4033</v>
      </c>
      <c r="CK98" t="s">
        <v>4013</v>
      </c>
    </row>
    <row r="99" spans="3:89" ht="16.350000000000001" customHeight="1" thickBot="1">
      <c r="R99" s="821">
        <f>Ram_1!AR95</f>
        <v>0</v>
      </c>
      <c r="V99" s="825" t="str">
        <f>'Translate&amp;Prices&amp;Logo'!$O$173</f>
        <v>Rodzaj szkła</v>
      </c>
      <c r="W99" s="825"/>
      <c r="X99" s="825"/>
      <c r="Y99" s="825"/>
      <c r="Z99" s="825"/>
      <c r="AA99" s="207"/>
      <c r="AB99" s="824">
        <f>IFERROR(VLOOKUP(Ram_3!$H$25,kombinace_1!DT:DU,2,0),Ram_3!$H$25)</f>
        <v>0</v>
      </c>
      <c r="AC99" s="824"/>
      <c r="AD99" s="824"/>
      <c r="AE99" s="824"/>
      <c r="AF99" s="824"/>
      <c r="AG99" s="824"/>
      <c r="AH99" s="824"/>
      <c r="AI99" s="824"/>
      <c r="AJ99" s="824"/>
      <c r="AK99" s="824"/>
      <c r="AL99" s="824"/>
      <c r="AM99" s="824"/>
      <c r="AN99" s="824"/>
      <c r="AQ99" s="847"/>
      <c r="BL99" s="1" t="s">
        <v>564</v>
      </c>
      <c r="BM99" s="1" t="s">
        <v>486</v>
      </c>
      <c r="BR99" s="1" t="s">
        <v>561</v>
      </c>
      <c r="BS99" s="1" t="s">
        <v>484</v>
      </c>
      <c r="CJ99" s="402" t="s">
        <v>4034</v>
      </c>
      <c r="CK99" t="s">
        <v>3573</v>
      </c>
    </row>
    <row r="100" spans="3:89" ht="16.350000000000001" customHeight="1">
      <c r="V100" s="825" t="str">
        <f>'Translate&amp;Prices&amp;Logo'!$O$549</f>
        <v>Rozstaw uchwytu (mm)</v>
      </c>
      <c r="W100" s="825"/>
      <c r="X100" s="825"/>
      <c r="Y100" s="825"/>
      <c r="Z100" s="825"/>
      <c r="AA100" s="207"/>
      <c r="AB100" s="824">
        <f>Ram_3!$H$26</f>
        <v>0</v>
      </c>
      <c r="AC100" s="824"/>
      <c r="AD100" s="824"/>
      <c r="AE100" s="824"/>
      <c r="AF100" s="824"/>
      <c r="AG100" s="824"/>
      <c r="AH100" s="824"/>
      <c r="AI100" s="824"/>
      <c r="AJ100" s="824"/>
      <c r="AK100" s="824"/>
      <c r="AL100" s="824"/>
      <c r="AM100" s="824"/>
      <c r="AN100" s="824"/>
      <c r="AQ100" s="847"/>
      <c r="BL100" s="1" t="s">
        <v>565</v>
      </c>
      <c r="BM100" s="1" t="s">
        <v>487</v>
      </c>
      <c r="BR100" s="1" t="s">
        <v>2322</v>
      </c>
      <c r="BS100" s="1" t="s">
        <v>2086</v>
      </c>
      <c r="CJ100" s="402" t="s">
        <v>2000</v>
      </c>
      <c r="CK100" t="s">
        <v>2000</v>
      </c>
    </row>
    <row r="101" spans="3:89" ht="16.350000000000001" customHeight="1">
      <c r="V101" s="825" t="str">
        <f>'Translate&amp;Prices&amp;Logo'!$O$550</f>
        <v>Umieszczenie uchwytu</v>
      </c>
      <c r="W101" s="825"/>
      <c r="X101" s="825"/>
      <c r="Y101" s="825"/>
      <c r="Z101" s="825"/>
      <c r="AA101" s="207"/>
      <c r="AB101" s="824">
        <f>IFERROR(VLOOKUP(Ram_3!$H$27,BR84:BS103,2,0),0)</f>
        <v>0</v>
      </c>
      <c r="AC101" s="824"/>
      <c r="AD101" s="824"/>
      <c r="AE101" s="824"/>
      <c r="AF101" s="824"/>
      <c r="AG101" s="824"/>
      <c r="AH101" s="824"/>
      <c r="AI101" s="824"/>
      <c r="AJ101" s="824"/>
      <c r="AK101" s="824"/>
      <c r="AL101" s="824"/>
      <c r="AM101" s="824"/>
      <c r="AN101" s="824"/>
      <c r="AQ101" s="847"/>
      <c r="BL101" s="1" t="s">
        <v>566</v>
      </c>
      <c r="BM101" s="1" t="s">
        <v>488</v>
      </c>
      <c r="BR101" s="1" t="s">
        <v>1734</v>
      </c>
      <c r="BS101" s="1" t="s">
        <v>2271</v>
      </c>
      <c r="CJ101" s="402" t="s">
        <v>2010</v>
      </c>
      <c r="CK101" t="s">
        <v>2010</v>
      </c>
    </row>
    <row r="102" spans="3:89" ht="16.350000000000001" customHeight="1">
      <c r="V102" s="825" t="str">
        <f>('Translate&amp;Prices&amp;Logo'!$O$174)&amp;" "&amp;"-"&amp;" "&amp;('Translate&amp;Prices&amp;Logo'!$O$169)&amp;" "&amp;" "&amp;3</f>
        <v>Ilość sztuk - Ramka  3</v>
      </c>
      <c r="W102" s="825"/>
      <c r="X102" s="825"/>
      <c r="Y102" s="825"/>
      <c r="Z102" s="825"/>
      <c r="AA102" s="207"/>
      <c r="AB102" s="824">
        <f>Ram_3!$H$28</f>
        <v>0</v>
      </c>
      <c r="AC102" s="824"/>
      <c r="AD102" s="824"/>
      <c r="AE102" s="824"/>
      <c r="AF102" s="824"/>
      <c r="AG102" s="824"/>
      <c r="AH102" s="824"/>
      <c r="AI102" s="824"/>
      <c r="AJ102" s="824"/>
      <c r="AK102" s="824"/>
      <c r="AL102" s="824"/>
      <c r="AM102" s="824"/>
      <c r="AN102" s="824"/>
      <c r="AQ102" s="847"/>
      <c r="BL102" s="1" t="s">
        <v>567</v>
      </c>
      <c r="BM102" s="1" t="s">
        <v>489</v>
      </c>
      <c r="BR102" s="1" t="s">
        <v>1693</v>
      </c>
      <c r="BS102" s="1" t="s">
        <v>483</v>
      </c>
      <c r="CJ102" s="402" t="s">
        <v>4035</v>
      </c>
      <c r="CK102" t="s">
        <v>3576</v>
      </c>
    </row>
    <row r="103" spans="3:89" ht="16.350000000000001" customHeight="1">
      <c r="AD103" s="1"/>
      <c r="AE103" s="1"/>
      <c r="AQ103" s="847"/>
      <c r="BL103" s="1" t="s">
        <v>2220</v>
      </c>
      <c r="BM103" s="1" t="s">
        <v>2272</v>
      </c>
      <c r="BR103" s="1" t="s">
        <v>1694</v>
      </c>
      <c r="BS103" s="1" t="s">
        <v>484</v>
      </c>
      <c r="CJ103" s="402" t="s">
        <v>4036</v>
      </c>
      <c r="CK103" t="s">
        <v>3574</v>
      </c>
    </row>
    <row r="104" spans="3:89" ht="14.85" customHeight="1">
      <c r="AQ104" s="847"/>
      <c r="BL104" s="1" t="s">
        <v>2323</v>
      </c>
      <c r="BM104" s="1" t="s">
        <v>486</v>
      </c>
      <c r="BR104" s="286" t="s">
        <v>3283</v>
      </c>
      <c r="BS104" s="286" t="s">
        <v>3279</v>
      </c>
      <c r="CJ104" s="402" t="s">
        <v>2003</v>
      </c>
      <c r="CK104" t="s">
        <v>2003</v>
      </c>
    </row>
    <row r="105" spans="3:89" ht="14.85" customHeight="1">
      <c r="V105" s="836" t="s">
        <v>2572</v>
      </c>
      <c r="W105" s="836"/>
      <c r="X105" s="836"/>
      <c r="Y105" s="836"/>
      <c r="AD105" s="836" t="s">
        <v>2573</v>
      </c>
      <c r="AE105" s="836"/>
      <c r="AF105" s="836"/>
      <c r="AG105" s="836"/>
      <c r="AQ105" s="847"/>
      <c r="BL105" s="1" t="s">
        <v>2324</v>
      </c>
      <c r="BM105" s="1" t="s">
        <v>487</v>
      </c>
      <c r="BR105" s="286" t="s">
        <v>3284</v>
      </c>
      <c r="BS105" s="286" t="s">
        <v>3280</v>
      </c>
      <c r="CJ105" s="402" t="s">
        <v>4037</v>
      </c>
      <c r="CK105" t="s">
        <v>4014</v>
      </c>
    </row>
    <row r="106" spans="3:89" ht="14.85" customHeight="1">
      <c r="AD106" s="827"/>
      <c r="AE106" s="828"/>
      <c r="AF106" s="828"/>
      <c r="AG106" s="828"/>
      <c r="AH106" s="828"/>
      <c r="AI106" s="828"/>
      <c r="AJ106" s="828"/>
      <c r="AK106" s="828"/>
      <c r="AL106" s="828"/>
      <c r="AM106" s="829"/>
      <c r="AQ106" s="847"/>
      <c r="BL106" s="1" t="s">
        <v>2448</v>
      </c>
      <c r="BM106" s="1" t="s">
        <v>488</v>
      </c>
      <c r="BR106" s="286" t="s">
        <v>3285</v>
      </c>
      <c r="BS106" s="286" t="s">
        <v>3281</v>
      </c>
      <c r="CJ106" s="402" t="s">
        <v>4038</v>
      </c>
      <c r="CK106" t="s">
        <v>3577</v>
      </c>
    </row>
    <row r="107" spans="3:89" ht="14.85" customHeight="1">
      <c r="AD107" s="830"/>
      <c r="AE107" s="831"/>
      <c r="AF107" s="831"/>
      <c r="AG107" s="831"/>
      <c r="AH107" s="831"/>
      <c r="AI107" s="831"/>
      <c r="AJ107" s="831"/>
      <c r="AK107" s="831"/>
      <c r="AL107" s="831"/>
      <c r="AM107" s="832"/>
      <c r="AQ107" s="847"/>
      <c r="BL107" s="1" t="s">
        <v>2449</v>
      </c>
      <c r="BM107" s="1" t="s">
        <v>489</v>
      </c>
      <c r="BR107" s="286" t="s">
        <v>3286</v>
      </c>
      <c r="BS107" s="286" t="s">
        <v>3282</v>
      </c>
      <c r="CJ107" s="402" t="s">
        <v>4039</v>
      </c>
      <c r="CK107" t="s">
        <v>4116</v>
      </c>
    </row>
    <row r="108" spans="3:89" ht="14.85" customHeight="1">
      <c r="AD108" s="830"/>
      <c r="AE108" s="831"/>
      <c r="AF108" s="831"/>
      <c r="AG108" s="831"/>
      <c r="AH108" s="831"/>
      <c r="AI108" s="831"/>
      <c r="AJ108" s="831"/>
      <c r="AK108" s="831"/>
      <c r="AL108" s="831"/>
      <c r="AM108" s="832"/>
      <c r="AQ108" s="847"/>
      <c r="BL108" s="1" t="s">
        <v>1898</v>
      </c>
      <c r="BM108" s="1" t="s">
        <v>2272</v>
      </c>
      <c r="CJ108" s="402" t="s">
        <v>2012</v>
      </c>
      <c r="CK108" t="s">
        <v>2012</v>
      </c>
    </row>
    <row r="109" spans="3:89" ht="14.85" customHeight="1">
      <c r="C109" s="844">
        <f>IF(OR(Ram_3!$AC$25="x",Ram_3!$AJ$26="x",Ram_3!$AC$9="x",Ram_3!$AJ$7="x",Ram_3!$AB$16="x",Ram_3!$AM$23="x",Ram_3!$AN$19="x",Ram_3!$AD$10="x"),'Translate&amp;Prices&amp;Logo'!$B$588,0)</f>
        <v>0</v>
      </c>
      <c r="D109" s="844"/>
      <c r="E109" s="844"/>
      <c r="F109" s="844"/>
      <c r="G109" s="844"/>
      <c r="H109" s="844"/>
      <c r="I109" s="844"/>
      <c r="J109" s="844"/>
      <c r="K109" s="844"/>
      <c r="L109" s="844"/>
      <c r="M109" s="844"/>
      <c r="N109" s="844"/>
      <c r="O109" s="844"/>
      <c r="AD109" s="830"/>
      <c r="AE109" s="831"/>
      <c r="AF109" s="831"/>
      <c r="AG109" s="831"/>
      <c r="AH109" s="831"/>
      <c r="AI109" s="831"/>
      <c r="AJ109" s="831"/>
      <c r="AK109" s="831"/>
      <c r="AL109" s="831"/>
      <c r="AM109" s="832"/>
      <c r="AQ109" s="847"/>
      <c r="CJ109" s="402" t="s">
        <v>4040</v>
      </c>
      <c r="CK109" t="s">
        <v>4015</v>
      </c>
    </row>
    <row r="110" spans="3:89" ht="14.85" customHeight="1">
      <c r="AD110" s="830"/>
      <c r="AE110" s="831"/>
      <c r="AF110" s="831"/>
      <c r="AG110" s="831"/>
      <c r="AH110" s="831"/>
      <c r="AI110" s="831"/>
      <c r="AJ110" s="831"/>
      <c r="AK110" s="831"/>
      <c r="AL110" s="831"/>
      <c r="AM110" s="832"/>
      <c r="AQ110" s="847"/>
      <c r="CJ110" s="402" t="s">
        <v>4041</v>
      </c>
      <c r="CK110" t="s">
        <v>4117</v>
      </c>
    </row>
    <row r="111" spans="3:89" ht="14.85" customHeight="1" thickBot="1">
      <c r="AD111" s="830"/>
      <c r="AE111" s="831"/>
      <c r="AF111" s="831"/>
      <c r="AG111" s="831"/>
      <c r="AH111" s="831"/>
      <c r="AI111" s="831"/>
      <c r="AJ111" s="831"/>
      <c r="AK111" s="831"/>
      <c r="AL111" s="831"/>
      <c r="AM111" s="832"/>
      <c r="AQ111" s="847"/>
      <c r="CJ111" s="402" t="s">
        <v>4042</v>
      </c>
      <c r="CK111" t="s">
        <v>4118</v>
      </c>
    </row>
    <row r="112" spans="3:89" ht="14.85" customHeight="1" thickBot="1">
      <c r="F112" s="816" t="str">
        <f>'Translate&amp;Prices&amp;Logo'!$O$175</f>
        <v>Szerokość</v>
      </c>
      <c r="G112" s="817">
        <f>Ram_1!AG102</f>
        <v>0</v>
      </c>
      <c r="H112" s="817">
        <f>Ram_1!AH102</f>
        <v>0</v>
      </c>
      <c r="I112" s="818">
        <f>Ram_3!AI30</f>
        <v>0</v>
      </c>
      <c r="J112" s="818">
        <f>Ram_1!AJ102</f>
        <v>0</v>
      </c>
      <c r="K112" s="819">
        <f>Ram_1!AK102</f>
        <v>0</v>
      </c>
      <c r="AD112" s="830"/>
      <c r="AE112" s="831"/>
      <c r="AF112" s="831"/>
      <c r="AG112" s="831"/>
      <c r="AH112" s="831"/>
      <c r="AI112" s="831"/>
      <c r="AJ112" s="831"/>
      <c r="AK112" s="831"/>
      <c r="AL112" s="831"/>
      <c r="AM112" s="832"/>
      <c r="AQ112" s="847"/>
      <c r="CJ112" s="402" t="s">
        <v>4043</v>
      </c>
      <c r="CK112" t="s">
        <v>4016</v>
      </c>
    </row>
    <row r="113" spans="1:89" ht="21" customHeight="1">
      <c r="AD113" s="833"/>
      <c r="AE113" s="834"/>
      <c r="AF113" s="834"/>
      <c r="AG113" s="834"/>
      <c r="AH113" s="834"/>
      <c r="AI113" s="834"/>
      <c r="AJ113" s="834"/>
      <c r="AK113" s="834"/>
      <c r="AL113" s="834"/>
      <c r="AM113" s="835"/>
      <c r="AQ113" s="847"/>
      <c r="CJ113" s="402" t="s">
        <v>4044</v>
      </c>
      <c r="CK113" t="s">
        <v>4017</v>
      </c>
    </row>
    <row r="114" spans="1:89" ht="14.85" customHeight="1">
      <c r="AQ114" s="847"/>
    </row>
    <row r="115" spans="1:89" ht="14.85" customHeight="1">
      <c r="AQ115" s="847"/>
    </row>
    <row r="116" spans="1:89" ht="14.85" customHeight="1" thickBot="1">
      <c r="A116" s="123"/>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276"/>
      <c r="AE116" s="277"/>
      <c r="AF116" s="123"/>
      <c r="AG116" s="123"/>
      <c r="AH116" s="123"/>
      <c r="AI116" s="123"/>
      <c r="AJ116" s="123"/>
      <c r="AK116" s="123"/>
      <c r="AL116" s="123"/>
      <c r="AM116" s="123"/>
      <c r="AN116" s="123"/>
      <c r="AO116" s="123"/>
      <c r="AP116" s="123"/>
      <c r="AQ116" s="123"/>
    </row>
    <row r="117" spans="1:89" ht="35.1" customHeight="1" thickBot="1">
      <c r="I117" s="273"/>
      <c r="J117" s="273"/>
      <c r="K117" s="273"/>
      <c r="L117" s="273"/>
      <c r="M117" s="273"/>
      <c r="N117" s="273"/>
      <c r="O117" s="273"/>
      <c r="P117" s="273"/>
      <c r="Q117" s="273"/>
      <c r="R117" s="273"/>
      <c r="S117" s="273"/>
      <c r="T117" s="273"/>
      <c r="U117" s="273"/>
      <c r="V117" s="840" t="str">
        <f>'Translate&amp;Prices&amp;Logo'!$O$256</f>
        <v>Numer zamówienia</v>
      </c>
      <c r="W117" s="840"/>
      <c r="X117" s="840"/>
      <c r="Y117" s="840"/>
      <c r="Z117" s="840"/>
      <c r="AA117" s="207"/>
      <c r="AB117" s="837"/>
      <c r="AC117" s="838"/>
      <c r="AD117" s="838"/>
      <c r="AE117" s="838"/>
      <c r="AF117" s="838"/>
      <c r="AG117" s="838"/>
      <c r="AH117" s="838"/>
      <c r="AI117" s="838"/>
      <c r="AJ117" s="838"/>
      <c r="AK117" s="838"/>
      <c r="AL117" s="838"/>
      <c r="AM117" s="838"/>
      <c r="AN117" s="839"/>
      <c r="AQ117" s="847" t="s">
        <v>2577</v>
      </c>
    </row>
    <row r="118" spans="1:89" ht="16.350000000000001" customHeight="1">
      <c r="V118" s="825" t="str">
        <f>'Translate&amp;Prices&amp;Logo'!$O$542</f>
        <v>Połączenie 2 profili</v>
      </c>
      <c r="W118" s="825"/>
      <c r="X118" s="825"/>
      <c r="Y118" s="825"/>
      <c r="Z118" s="825"/>
      <c r="AA118" s="207"/>
      <c r="AB118" s="848" t="str">
        <f>IF(kombinace_4!$H$1=TRUE,"Tak","Nie")</f>
        <v>Nie</v>
      </c>
      <c r="AC118" s="848"/>
      <c r="AD118" s="848"/>
      <c r="AE118" s="848"/>
      <c r="AF118" s="848"/>
      <c r="AG118" s="848"/>
      <c r="AH118" s="848"/>
      <c r="AI118" s="848"/>
      <c r="AJ118" s="848"/>
      <c r="AK118" s="848"/>
      <c r="AL118" s="848"/>
      <c r="AM118" s="848"/>
      <c r="AN118" s="848"/>
      <c r="AQ118" s="847"/>
    </row>
    <row r="119" spans="1:89" ht="16.350000000000001" customHeight="1">
      <c r="V119" s="825" t="str">
        <f>'Translate&amp;Prices&amp;Logo'!$O$172</f>
        <v>Rodzaj profilu</v>
      </c>
      <c r="W119" s="825"/>
      <c r="X119" s="825"/>
      <c r="Y119" s="825"/>
      <c r="Z119" s="825"/>
      <c r="AA119" s="207"/>
      <c r="AB119" s="824">
        <f>IFERROR(VLOOKUP(Ram_4!$H$8,'Translate&amp;Prices&amp;Logo'!AA:AB,2,0),Ram_4!$H$8)</f>
        <v>0</v>
      </c>
      <c r="AC119" s="824"/>
      <c r="AD119" s="824"/>
      <c r="AE119" s="824"/>
      <c r="AF119" s="824"/>
      <c r="AG119" s="824"/>
      <c r="AH119" s="824"/>
      <c r="AI119" s="824"/>
      <c r="AJ119" s="824"/>
      <c r="AK119" s="824"/>
      <c r="AL119" s="824"/>
      <c r="AM119" s="824"/>
      <c r="AN119" s="824"/>
      <c r="AQ119" s="847"/>
    </row>
    <row r="120" spans="1:89" ht="16.350000000000001" customHeight="1">
      <c r="V120" s="825" t="str">
        <f>'Translate&amp;Prices&amp;Logo'!$O$543</f>
        <v>Szprosy</v>
      </c>
      <c r="W120" s="825"/>
      <c r="X120" s="825"/>
      <c r="Y120" s="825"/>
      <c r="Z120" s="825"/>
      <c r="AA120" s="207"/>
      <c r="AB120" s="824" t="str">
        <f>IFERROR(VLOOKUP(Ram_4!$AU$10,AT120:AU123,2,0),0)</f>
        <v>Nie</v>
      </c>
      <c r="AC120" s="824"/>
      <c r="AD120" s="824"/>
      <c r="AE120" s="824"/>
      <c r="AF120" s="824"/>
      <c r="AG120" s="824"/>
      <c r="AH120" s="824"/>
      <c r="AI120" s="824"/>
      <c r="AJ120" s="824"/>
      <c r="AK120" s="824"/>
      <c r="AL120" s="824"/>
      <c r="AM120" s="824"/>
      <c r="AN120" s="824"/>
      <c r="AQ120" s="847"/>
      <c r="AT120">
        <v>0</v>
      </c>
      <c r="AU120" t="str">
        <f>'Translate&amp;Prices&amp;Logo'!$O$557</f>
        <v>Nie</v>
      </c>
      <c r="AY120">
        <v>2</v>
      </c>
      <c r="AZ120" t="str">
        <f>'Translate&amp;Prices&amp;Logo'!$O$551</f>
        <v>Zawiasy</v>
      </c>
      <c r="BC120" s="1" t="s">
        <v>98</v>
      </c>
      <c r="BD120" s="1" t="s">
        <v>452</v>
      </c>
      <c r="BH120" s="1" t="s">
        <v>75</v>
      </c>
      <c r="BI120" s="1" t="s">
        <v>446</v>
      </c>
      <c r="BL120" s="1" t="s">
        <v>215</v>
      </c>
      <c r="BM120" s="1" t="s">
        <v>486</v>
      </c>
      <c r="BR120" s="1" t="s">
        <v>221</v>
      </c>
      <c r="BS120" s="1" t="s">
        <v>2086</v>
      </c>
      <c r="BW120" s="1">
        <v>1</v>
      </c>
      <c r="BX120" s="1" t="str">
        <f>'Translate&amp;Prices&amp;Logo'!$O$100</f>
        <v>Bez modyfikacji</v>
      </c>
      <c r="BZ120" t="s">
        <v>1886</v>
      </c>
      <c r="CA120" t="s">
        <v>2286</v>
      </c>
    </row>
    <row r="121" spans="1:89" ht="16.350000000000001" customHeight="1">
      <c r="V121" s="278"/>
      <c r="W121" s="278"/>
      <c r="X121" s="278"/>
      <c r="Y121" s="278"/>
      <c r="Z121" s="278"/>
      <c r="AA121" s="207"/>
      <c r="AB121" s="849" t="str">
        <f>'Translate&amp;Prices&amp;Logo'!$O$558</f>
        <v>Poziomo (termin dostawy 4 tygodnie)</v>
      </c>
      <c r="AC121" s="849"/>
      <c r="AD121" s="849"/>
      <c r="AE121" s="849"/>
      <c r="AF121" s="849"/>
      <c r="AG121" s="849"/>
      <c r="AH121" s="849"/>
      <c r="AI121" s="849" t="str">
        <f>'Translate&amp;Prices&amp;Logo'!$O$559</f>
        <v>Pionowo (termin dostawy 4 tygodnie)</v>
      </c>
      <c r="AJ121" s="849"/>
      <c r="AK121" s="849"/>
      <c r="AL121" s="849"/>
      <c r="AM121" s="849"/>
      <c r="AN121" s="849"/>
      <c r="AQ121" s="847"/>
      <c r="AT121">
        <v>1</v>
      </c>
      <c r="AU121" t="str">
        <f>'Translate&amp;Prices&amp;Logo'!$O$558</f>
        <v>Poziomo (termin dostawy 4 tygodnie)</v>
      </c>
      <c r="AY121">
        <v>3</v>
      </c>
      <c r="AZ121" t="str">
        <f>'Translate&amp;Prices&amp;Logo'!$O$552</f>
        <v>Podnośniki</v>
      </c>
      <c r="BC121" s="1" t="s">
        <v>99</v>
      </c>
      <c r="BD121" s="1" t="s">
        <v>453</v>
      </c>
      <c r="BH121" s="1" t="s">
        <v>74</v>
      </c>
      <c r="BI121" s="1" t="s">
        <v>447</v>
      </c>
      <c r="BL121" s="1" t="s">
        <v>216</v>
      </c>
      <c r="BM121" s="1" t="s">
        <v>487</v>
      </c>
      <c r="BR121" s="1" t="s">
        <v>222</v>
      </c>
      <c r="BS121" s="1" t="s">
        <v>2271</v>
      </c>
      <c r="BW121" s="1">
        <v>2</v>
      </c>
      <c r="BX121" s="1" t="str">
        <f>'Translate&amp;Prices&amp;Logo'!$O$101</f>
        <v>Hartowane</v>
      </c>
      <c r="BZ121" t="s">
        <v>1889</v>
      </c>
      <c r="CA121" t="s">
        <v>2287</v>
      </c>
    </row>
    <row r="122" spans="1:89" ht="16.350000000000001" customHeight="1">
      <c r="V122" s="825" t="str">
        <f>('Translate&amp;Prices&amp;Logo'!$O$543)&amp;" "&amp;"("&amp;'Translate&amp;Prices&amp;Logo'!$O$174&amp;")"</f>
        <v>Szprosy (Ilość sztuk)</v>
      </c>
      <c r="W122" s="825"/>
      <c r="X122" s="825"/>
      <c r="Y122" s="825"/>
      <c r="Z122" s="825"/>
      <c r="AA122" s="207"/>
      <c r="AB122" s="824">
        <f>Ram_4!$H$11</f>
        <v>0</v>
      </c>
      <c r="AC122" s="824"/>
      <c r="AD122" s="824"/>
      <c r="AE122" s="824"/>
      <c r="AF122" s="824"/>
      <c r="AG122" s="824"/>
      <c r="AH122" s="824"/>
      <c r="AI122" s="824">
        <f>Ram_4!$M$11</f>
        <v>0</v>
      </c>
      <c r="AJ122" s="824"/>
      <c r="AK122" s="824"/>
      <c r="AL122" s="824"/>
      <c r="AM122" s="824"/>
      <c r="AN122" s="824"/>
      <c r="AQ122" s="847"/>
      <c r="AT122">
        <v>2</v>
      </c>
      <c r="AU122" t="str">
        <f>'Translate&amp;Prices&amp;Logo'!$O$559</f>
        <v>Pionowo (termin dostawy 4 tygodnie)</v>
      </c>
      <c r="BC122" s="1" t="s">
        <v>100</v>
      </c>
      <c r="BD122" s="1" t="s">
        <v>2101</v>
      </c>
      <c r="BH122" s="1" t="s">
        <v>387</v>
      </c>
      <c r="BI122" s="1" t="s">
        <v>446</v>
      </c>
      <c r="BL122" s="1" t="s">
        <v>218</v>
      </c>
      <c r="BM122" s="1" t="s">
        <v>488</v>
      </c>
      <c r="BR122" s="1" t="s">
        <v>212</v>
      </c>
      <c r="BS122" s="1" t="s">
        <v>483</v>
      </c>
      <c r="BW122" s="1">
        <v>3</v>
      </c>
      <c r="BX122" s="1" t="str">
        <f>'Translate&amp;Prices&amp;Logo'!$O$102</f>
        <v>Folia</v>
      </c>
      <c r="BZ122" t="s">
        <v>1892</v>
      </c>
      <c r="CA122" t="s">
        <v>2288</v>
      </c>
    </row>
    <row r="123" spans="1:89" ht="16.350000000000001" customHeight="1">
      <c r="V123" s="825" t="str">
        <f>'Translate&amp;Prices&amp;Logo'!$O$258</f>
        <v>Typ okucia</v>
      </c>
      <c r="W123" s="825"/>
      <c r="X123" s="825"/>
      <c r="Y123" s="825"/>
      <c r="Z123" s="825"/>
      <c r="AA123" s="207"/>
      <c r="AB123" s="824">
        <f>IFERROR(VLOOKUP(Ram_4!$AU$9,AY120:AZ121,2,0),0)</f>
        <v>0</v>
      </c>
      <c r="AC123" s="824"/>
      <c r="AD123" s="824"/>
      <c r="AE123" s="824"/>
      <c r="AF123" s="824"/>
      <c r="AG123" s="824"/>
      <c r="AH123" s="824"/>
      <c r="AI123" s="824"/>
      <c r="AJ123" s="824"/>
      <c r="AK123" s="824"/>
      <c r="AL123" s="824"/>
      <c r="AM123" s="824"/>
      <c r="AN123" s="824"/>
      <c r="AQ123" s="847"/>
      <c r="AT123">
        <v>3</v>
      </c>
      <c r="AU123" t="str">
        <f>'Translate&amp;Prices&amp;Logo'!$O$560</f>
        <v>Poziomo i pionowo (termin dostawy 4 tygodnie)</v>
      </c>
      <c r="BC123" s="1" t="s">
        <v>98</v>
      </c>
      <c r="BD123" s="1" t="s">
        <v>452</v>
      </c>
      <c r="BH123" s="1" t="s">
        <v>388</v>
      </c>
      <c r="BI123" s="1" t="s">
        <v>447</v>
      </c>
      <c r="BL123" s="1" t="s">
        <v>217</v>
      </c>
      <c r="BM123" s="1" t="s">
        <v>489</v>
      </c>
      <c r="BR123" s="1" t="s">
        <v>211</v>
      </c>
      <c r="BS123" s="1" t="s">
        <v>484</v>
      </c>
      <c r="BZ123" t="s">
        <v>2175</v>
      </c>
      <c r="CA123" t="s">
        <v>2286</v>
      </c>
    </row>
    <row r="124" spans="1:89" ht="16.350000000000001" customHeight="1">
      <c r="V124" s="825" t="str">
        <f>'Translate&amp;Prices&amp;Logo'!$O$544</f>
        <v>Marka okucia</v>
      </c>
      <c r="W124" s="825"/>
      <c r="X124" s="825"/>
      <c r="Y124" s="825"/>
      <c r="Z124" s="825"/>
      <c r="AA124" s="207"/>
      <c r="AB124" s="824">
        <f>Ram_4!$H$13</f>
        <v>0</v>
      </c>
      <c r="AC124" s="824"/>
      <c r="AD124" s="824"/>
      <c r="AE124" s="824"/>
      <c r="AF124" s="824"/>
      <c r="AG124" s="824"/>
      <c r="AH124" s="824"/>
      <c r="AI124" s="824"/>
      <c r="AJ124" s="824"/>
      <c r="AK124" s="824"/>
      <c r="AL124" s="824"/>
      <c r="AM124" s="824"/>
      <c r="AN124" s="824"/>
      <c r="AQ124" s="847"/>
      <c r="BC124" s="1" t="s">
        <v>99</v>
      </c>
      <c r="BD124" s="1" t="s">
        <v>453</v>
      </c>
      <c r="BH124" s="1" t="s">
        <v>705</v>
      </c>
      <c r="BI124" s="1" t="s">
        <v>446</v>
      </c>
      <c r="BL124" s="1" t="s">
        <v>219</v>
      </c>
      <c r="BM124" s="1" t="s">
        <v>2272</v>
      </c>
      <c r="BR124" s="1" t="s">
        <v>2088</v>
      </c>
      <c r="BS124" s="1" t="s">
        <v>2086</v>
      </c>
      <c r="BZ124" t="s">
        <v>2176</v>
      </c>
      <c r="CA124" t="s">
        <v>2287</v>
      </c>
    </row>
    <row r="125" spans="1:89" ht="16.350000000000001" customHeight="1" thickBot="1">
      <c r="V125" s="825" t="str">
        <f>'Translate&amp;Prices&amp;Logo'!$O$546</f>
        <v>Nałożenie</v>
      </c>
      <c r="W125" s="825"/>
      <c r="X125" s="825"/>
      <c r="Y125" s="825"/>
      <c r="Z125" s="825"/>
      <c r="AA125" s="207"/>
      <c r="AB125" s="824">
        <f>IFERROR(VLOOKUP(Ram_4!$H$14,BC120:BD134,2,0),0)</f>
        <v>0</v>
      </c>
      <c r="AC125" s="824"/>
      <c r="AD125" s="824"/>
      <c r="AE125" s="824"/>
      <c r="AF125" s="824"/>
      <c r="AG125" s="824"/>
      <c r="AH125" s="824"/>
      <c r="AI125" s="824"/>
      <c r="AJ125" s="824"/>
      <c r="AK125" s="824"/>
      <c r="AL125" s="824"/>
      <c r="AM125" s="824"/>
      <c r="AN125" s="824"/>
      <c r="AQ125" s="847"/>
      <c r="BC125" s="1" t="s">
        <v>100</v>
      </c>
      <c r="BD125" s="1" t="s">
        <v>2101</v>
      </c>
      <c r="BH125" s="1" t="s">
        <v>523</v>
      </c>
      <c r="BI125" s="1" t="s">
        <v>447</v>
      </c>
      <c r="BL125" s="1" t="s">
        <v>421</v>
      </c>
      <c r="BM125" s="1" t="s">
        <v>486</v>
      </c>
      <c r="BR125" s="1" t="s">
        <v>222</v>
      </c>
      <c r="BS125" s="1" t="s">
        <v>2271</v>
      </c>
      <c r="BZ125" t="s">
        <v>2177</v>
      </c>
      <c r="CA125" t="s">
        <v>2288</v>
      </c>
    </row>
    <row r="126" spans="1:89" ht="16.350000000000001" customHeight="1">
      <c r="R126" s="822">
        <f>Ram_4!AR14</f>
        <v>0</v>
      </c>
      <c r="V126" s="825" t="str">
        <f>'Translate&amp;Prices&amp;Logo'!$O$545</f>
        <v>Wariant okucia</v>
      </c>
      <c r="W126" s="825"/>
      <c r="X126" s="825"/>
      <c r="Y126" s="825"/>
      <c r="Z126" s="825"/>
      <c r="AA126" s="207"/>
      <c r="AB126" s="824">
        <f>IFERROR(VLOOKUP(Ram_4!$H$15,kombinace_1!$ED:$EE,2,0),Ram_4!$H$15)</f>
        <v>0</v>
      </c>
      <c r="AC126" s="824"/>
      <c r="AD126" s="824"/>
      <c r="AE126" s="824"/>
      <c r="AF126" s="824"/>
      <c r="AG126" s="824"/>
      <c r="AH126" s="824" t="str">
        <f>IF(AB126='Translate&amp;Prices&amp;Logo'!C698,VLOOKUP(Ram_4!H17,'Translate&amp;Prices&amp;Logo'!C699:D718,2,0),"")</f>
        <v/>
      </c>
      <c r="AI126" s="824"/>
      <c r="AJ126" s="824"/>
      <c r="AK126" s="824"/>
      <c r="AL126" s="824"/>
      <c r="AM126" s="824"/>
      <c r="AN126" s="824"/>
      <c r="AQ126" s="847"/>
      <c r="BC126" s="1" t="s">
        <v>452</v>
      </c>
      <c r="BD126" s="1" t="s">
        <v>452</v>
      </c>
      <c r="BH126" s="1" t="s">
        <v>2315</v>
      </c>
      <c r="BI126" s="1" t="s">
        <v>446</v>
      </c>
      <c r="BL126" s="1" t="s">
        <v>422</v>
      </c>
      <c r="BM126" s="1" t="s">
        <v>487</v>
      </c>
      <c r="BR126" s="1" t="s">
        <v>417</v>
      </c>
      <c r="BS126" s="1" t="s">
        <v>483</v>
      </c>
      <c r="BZ126" t="s">
        <v>2286</v>
      </c>
      <c r="CA126" t="s">
        <v>2286</v>
      </c>
    </row>
    <row r="127" spans="1:89" ht="16.350000000000001" customHeight="1">
      <c r="R127" s="823">
        <f>Ram_1!AR123</f>
        <v>0</v>
      </c>
      <c r="V127" s="825" t="str">
        <f>'Translate&amp;Prices&amp;Logo'!$O$218</f>
        <v>Wybierz pozycję ramki</v>
      </c>
      <c r="W127" s="825"/>
      <c r="X127" s="825"/>
      <c r="Y127" s="825"/>
      <c r="Z127" s="825"/>
      <c r="AA127" s="824">
        <f>IFERROR(VLOOKUP(Ram_4!$F$16,BH120:BI129,2,0),0)</f>
        <v>0</v>
      </c>
      <c r="AB127" s="824"/>
      <c r="AC127" s="824"/>
      <c r="AD127" s="824"/>
      <c r="AE127" s="824"/>
      <c r="AF127" s="825" t="str">
        <f>'Translate&amp;Prices&amp;Logo'!$O$232</f>
        <v>Rodzaj drugiej ramki</v>
      </c>
      <c r="AG127" s="825"/>
      <c r="AH127" s="825"/>
      <c r="AI127" s="825"/>
      <c r="AJ127" s="825"/>
      <c r="AK127" s="824">
        <f>IFERROR(VLOOKUP(Ram_4!$N$16,BL120:BM144,2,0),0)</f>
        <v>0</v>
      </c>
      <c r="AL127" s="824"/>
      <c r="AM127" s="824"/>
      <c r="AN127" s="824"/>
      <c r="AQ127" s="847"/>
      <c r="BC127" s="1" t="s">
        <v>453</v>
      </c>
      <c r="BD127" s="1" t="s">
        <v>453</v>
      </c>
      <c r="BH127" s="1" t="s">
        <v>2316</v>
      </c>
      <c r="BI127" s="1" t="s">
        <v>447</v>
      </c>
      <c r="BL127" s="1" t="s">
        <v>423</v>
      </c>
      <c r="BM127" s="1" t="s">
        <v>488</v>
      </c>
      <c r="BR127" s="1" t="s">
        <v>418</v>
      </c>
      <c r="BS127" s="1" t="s">
        <v>484</v>
      </c>
      <c r="BZ127" t="s">
        <v>2287</v>
      </c>
      <c r="CA127" t="s">
        <v>2287</v>
      </c>
    </row>
    <row r="128" spans="1:89" ht="16.350000000000001" customHeight="1">
      <c r="R128" s="823">
        <f>Ram_1!AR124</f>
        <v>0</v>
      </c>
      <c r="V128" s="825" t="str">
        <f>IF(AB123='Translate&amp;Prices&amp;Logo'!O551,'Translate&amp;Prices&amp;Logo'!O238,'Translate&amp;Prices&amp;Logo'!$O$226)</f>
        <v>Umieszczenie</v>
      </c>
      <c r="W128" s="825"/>
      <c r="X128" s="825"/>
      <c r="Y128" s="825"/>
      <c r="Z128" s="825"/>
      <c r="AA128" s="207"/>
      <c r="AB128" s="824" t="str">
        <f>IFERROR((IF(Ram_4!H12='Translate&amp;Prices&amp;Logo'!B552,VLOOKUP(Ram_4!$N$16,BR48:BS67,2,0),VLOOKUP(Ram_4!$H$17,BR48:BS67,2,0))),"")</f>
        <v/>
      </c>
      <c r="AC128" s="824"/>
      <c r="AD128" s="824"/>
      <c r="AE128" s="824"/>
      <c r="AF128" s="824"/>
      <c r="AG128" s="824"/>
      <c r="AH128" s="824"/>
      <c r="AI128" s="824"/>
      <c r="AJ128" s="824"/>
      <c r="AK128" s="824"/>
      <c r="AL128" s="824"/>
      <c r="AM128" s="824"/>
      <c r="AN128" s="824"/>
      <c r="AQ128" s="847"/>
      <c r="BC128" s="1" t="s">
        <v>2101</v>
      </c>
      <c r="BD128" s="1" t="s">
        <v>2101</v>
      </c>
      <c r="BH128" s="1" t="s">
        <v>446</v>
      </c>
      <c r="BI128" s="1" t="s">
        <v>446</v>
      </c>
      <c r="BL128" s="1" t="s">
        <v>424</v>
      </c>
      <c r="BM128" s="1" t="s">
        <v>489</v>
      </c>
      <c r="BR128" s="1" t="s">
        <v>2086</v>
      </c>
      <c r="BS128" s="1" t="s">
        <v>2086</v>
      </c>
      <c r="BZ128" t="s">
        <v>2288</v>
      </c>
      <c r="CA128" t="s">
        <v>2288</v>
      </c>
    </row>
    <row r="129" spans="18:79" ht="16.350000000000001" customHeight="1">
      <c r="R129" s="823">
        <f>Ram_1!AR125</f>
        <v>0</v>
      </c>
      <c r="V129" s="825" t="str">
        <f>'Translate&amp;Prices&amp;Logo'!$O$547</f>
        <v>Zawiasy do podnośników</v>
      </c>
      <c r="W129" s="825"/>
      <c r="X129" s="825"/>
      <c r="Y129" s="825"/>
      <c r="Z129" s="825"/>
      <c r="AA129" s="207"/>
      <c r="AB129" s="824" t="str">
        <f>IFERROR((VLOOKUP(Ram_4!$H$18,CJ:CK,2,0)),"")</f>
        <v/>
      </c>
      <c r="AC129" s="824"/>
      <c r="AD129" s="824"/>
      <c r="AE129" s="824"/>
      <c r="AF129" s="824"/>
      <c r="AG129" s="824"/>
      <c r="AH129" s="824"/>
      <c r="AI129" s="824"/>
      <c r="AJ129" s="824"/>
      <c r="AK129" s="824"/>
      <c r="AL129" s="824"/>
      <c r="AM129" s="824"/>
      <c r="AN129" s="824"/>
      <c r="AQ129" s="847"/>
      <c r="BC129" s="1" t="s">
        <v>528</v>
      </c>
      <c r="BD129" s="1" t="s">
        <v>452</v>
      </c>
      <c r="BH129" s="1" t="s">
        <v>447</v>
      </c>
      <c r="BI129" s="1" t="s">
        <v>447</v>
      </c>
      <c r="BL129" s="1" t="s">
        <v>425</v>
      </c>
      <c r="BM129" s="1" t="s">
        <v>2272</v>
      </c>
      <c r="BR129" s="1" t="s">
        <v>2271</v>
      </c>
      <c r="BS129" s="1" t="s">
        <v>2271</v>
      </c>
      <c r="BZ129" t="s">
        <v>2178</v>
      </c>
      <c r="CA129" t="s">
        <v>2286</v>
      </c>
    </row>
    <row r="130" spans="18:79" ht="16.350000000000001" customHeight="1">
      <c r="R130" s="823">
        <f>Ram_1!AR126</f>
        <v>0</v>
      </c>
      <c r="V130" s="825" t="str">
        <f>'Translate&amp;Prices&amp;Logo'!$O$223</f>
        <v>Ilość zawiasów na 1 ramkę</v>
      </c>
      <c r="W130" s="825"/>
      <c r="X130" s="825"/>
      <c r="Y130" s="825"/>
      <c r="Z130" s="825"/>
      <c r="AA130" s="207"/>
      <c r="AB130" s="824">
        <f>Ram_4!$H$19</f>
        <v>0</v>
      </c>
      <c r="AC130" s="824"/>
      <c r="AD130" s="824"/>
      <c r="AE130" s="824"/>
      <c r="AF130" s="824"/>
      <c r="AG130" s="824"/>
      <c r="AH130" s="824"/>
      <c r="AI130" s="824"/>
      <c r="AJ130" s="824"/>
      <c r="AK130" s="824"/>
      <c r="AL130" s="824"/>
      <c r="AM130" s="824"/>
      <c r="AN130" s="824"/>
      <c r="AQ130" s="847"/>
      <c r="BC130" s="1" t="s">
        <v>529</v>
      </c>
      <c r="BD130" s="1" t="s">
        <v>453</v>
      </c>
      <c r="BL130" s="1" t="s">
        <v>486</v>
      </c>
      <c r="BM130" s="1" t="s">
        <v>486</v>
      </c>
      <c r="BR130" s="1" t="s">
        <v>483</v>
      </c>
      <c r="BS130" s="1" t="s">
        <v>483</v>
      </c>
      <c r="BZ130" t="s">
        <v>2261</v>
      </c>
      <c r="CA130" t="s">
        <v>2287</v>
      </c>
    </row>
    <row r="131" spans="18:79" ht="16.350000000000001" customHeight="1">
      <c r="R131" s="820" t="str">
        <f>'Translate&amp;Prices&amp;Logo'!$O$176</f>
        <v>Wysokość</v>
      </c>
      <c r="V131" s="825" t="e">
        <f>'Translate&amp;Prices&amp;Logo'!$O$242&amp;" "&amp;VLOOKUP(Ram_4!H17,kombinace_1!$BY$32:$CC$35,5,0)</f>
        <v>#N/A</v>
      </c>
      <c r="W131" s="825"/>
      <c r="X131" s="825"/>
      <c r="Y131" s="825"/>
      <c r="Z131" s="825"/>
      <c r="AA131" s="824">
        <f>Ram_4!$F$20</f>
        <v>100</v>
      </c>
      <c r="AB131" s="824"/>
      <c r="AC131" s="824"/>
      <c r="AD131" s="824"/>
      <c r="AE131" s="824"/>
      <c r="AF131" s="825" t="e">
        <f>'Translate&amp;Prices&amp;Logo'!$O$242&amp;" "&amp;VLOOKUP(Ram_4!H17,kombinace_1!$BY$32:$CD$35,6,0)</f>
        <v>#N/A</v>
      </c>
      <c r="AG131" s="825"/>
      <c r="AH131" s="825"/>
      <c r="AI131" s="825"/>
      <c r="AJ131" s="825"/>
      <c r="AK131" s="824">
        <f>Ram_4!$N$20</f>
        <v>100</v>
      </c>
      <c r="AL131" s="824"/>
      <c r="AM131" s="824"/>
      <c r="AN131" s="824"/>
      <c r="AQ131" s="847"/>
      <c r="BC131" s="1" t="s">
        <v>530</v>
      </c>
      <c r="BD131" s="1" t="s">
        <v>2101</v>
      </c>
      <c r="BL131" s="1" t="s">
        <v>487</v>
      </c>
      <c r="BM131" s="1" t="s">
        <v>487</v>
      </c>
      <c r="BR131" s="1" t="s">
        <v>484</v>
      </c>
      <c r="BS131" s="1" t="s">
        <v>484</v>
      </c>
      <c r="BZ131" t="s">
        <v>2179</v>
      </c>
      <c r="CA131" t="s">
        <v>2288</v>
      </c>
    </row>
    <row r="132" spans="18:79" ht="16.350000000000001" customHeight="1">
      <c r="R132" s="820">
        <f>Ram_1!AR128</f>
        <v>0</v>
      </c>
      <c r="V132" s="403" t="str">
        <f>'Translate&amp;Prices&amp;Logo'!$O$653</f>
        <v>Wypełnienie z siatki</v>
      </c>
      <c r="W132" s="278"/>
      <c r="X132" s="278"/>
      <c r="Y132" s="278"/>
      <c r="Z132" s="278"/>
      <c r="AA132" s="207"/>
      <c r="AB132" s="826" t="str">
        <f>IF(kombinace_4!FC2=TRUE,"Tak","Nie")</f>
        <v>Nie</v>
      </c>
      <c r="AC132" s="826"/>
      <c r="AD132" s="826"/>
      <c r="AE132" s="826"/>
      <c r="AF132" s="826"/>
      <c r="AG132" s="826"/>
      <c r="AH132" s="826"/>
      <c r="AI132" s="826"/>
      <c r="AJ132" s="826"/>
      <c r="AK132" s="826"/>
      <c r="AL132" s="826"/>
      <c r="AM132" s="826"/>
      <c r="AN132" s="826"/>
      <c r="AQ132" s="847"/>
      <c r="BC132" s="1" t="s">
        <v>2563</v>
      </c>
      <c r="BD132" s="1" t="s">
        <v>452</v>
      </c>
      <c r="BL132" s="1" t="s">
        <v>488</v>
      </c>
      <c r="BM132" s="1" t="s">
        <v>488</v>
      </c>
      <c r="BR132" s="1" t="s">
        <v>2087</v>
      </c>
      <c r="BS132" s="1" t="s">
        <v>2086</v>
      </c>
      <c r="BZ132" t="s">
        <v>2367</v>
      </c>
      <c r="CA132" t="s">
        <v>2286</v>
      </c>
    </row>
    <row r="133" spans="18:79" ht="16.350000000000001" customHeight="1">
      <c r="R133" s="820">
        <f>Ram_1!AR129</f>
        <v>0</v>
      </c>
      <c r="V133" s="825" t="str">
        <f>'Translate&amp;Prices&amp;Logo'!$O$173</f>
        <v>Rodzaj szkła</v>
      </c>
      <c r="W133" s="825"/>
      <c r="X133" s="825"/>
      <c r="Y133" s="825"/>
      <c r="Z133" s="825"/>
      <c r="AA133" s="207"/>
      <c r="AB133" s="824" t="str">
        <f>IFERROR(VLOOKUP(kombinace_4!$V$1,BW120:BX122,2,0),0)</f>
        <v>Bez modyfikacji</v>
      </c>
      <c r="AC133" s="824"/>
      <c r="AD133" s="824"/>
      <c r="AE133" s="824"/>
      <c r="AF133" s="824"/>
      <c r="AG133" s="824"/>
      <c r="AH133" s="824"/>
      <c r="AI133" s="824"/>
      <c r="AJ133" s="824"/>
      <c r="AK133" s="824"/>
      <c r="AL133" s="824"/>
      <c r="AM133" s="824"/>
      <c r="AN133" s="824"/>
      <c r="AQ133" s="847"/>
      <c r="BC133" s="1" t="s">
        <v>2420</v>
      </c>
      <c r="BD133" s="1" t="s">
        <v>453</v>
      </c>
      <c r="BL133" s="1" t="s">
        <v>489</v>
      </c>
      <c r="BM133" s="1" t="s">
        <v>489</v>
      </c>
      <c r="BR133" s="1" t="s">
        <v>2089</v>
      </c>
      <c r="BS133" s="1" t="s">
        <v>2271</v>
      </c>
      <c r="BZ133" t="s">
        <v>2368</v>
      </c>
      <c r="CA133" t="s">
        <v>2287</v>
      </c>
    </row>
    <row r="134" spans="18:79" ht="16.350000000000001" customHeight="1">
      <c r="R134" s="820">
        <f>Ram_1!AR130</f>
        <v>0</v>
      </c>
      <c r="V134" s="825" t="str">
        <f>'Translate&amp;Prices&amp;Logo'!$O$562</f>
        <v>Rodzaj folii</v>
      </c>
      <c r="W134" s="825"/>
      <c r="X134" s="825"/>
      <c r="Y134" s="825"/>
      <c r="Z134" s="825"/>
      <c r="AA134" s="207"/>
      <c r="AB134" s="824">
        <f>IFERROR(VLOOKUP(Ram_4!$H$24,BZ120:CA134,2,0),0)</f>
        <v>0</v>
      </c>
      <c r="AC134" s="824"/>
      <c r="AD134" s="824"/>
      <c r="AE134" s="824"/>
      <c r="AF134" s="824"/>
      <c r="AG134" s="824"/>
      <c r="AH134" s="824"/>
      <c r="AI134" s="824"/>
      <c r="AJ134" s="824"/>
      <c r="AK134" s="824"/>
      <c r="AL134" s="824"/>
      <c r="AM134" s="824"/>
      <c r="AN134" s="824"/>
      <c r="AQ134" s="847"/>
      <c r="BC134" s="1" t="s">
        <v>1660</v>
      </c>
      <c r="BD134" s="1" t="s">
        <v>2101</v>
      </c>
      <c r="BL134" s="1" t="s">
        <v>2272</v>
      </c>
      <c r="BM134" s="1" t="s">
        <v>2272</v>
      </c>
      <c r="BR134" s="1" t="s">
        <v>560</v>
      </c>
      <c r="BS134" s="1" t="s">
        <v>483</v>
      </c>
      <c r="BZ134" t="s">
        <v>2369</v>
      </c>
      <c r="CA134" t="s">
        <v>2288</v>
      </c>
    </row>
    <row r="135" spans="18:79" ht="16.350000000000001" customHeight="1" thickBot="1">
      <c r="R135" s="821">
        <f>Ram_1!AR131</f>
        <v>0</v>
      </c>
      <c r="V135" s="825" t="str">
        <f>'Translate&amp;Prices&amp;Logo'!$O$173</f>
        <v>Rodzaj szkła</v>
      </c>
      <c r="W135" s="825"/>
      <c r="X135" s="825"/>
      <c r="Y135" s="825"/>
      <c r="Z135" s="825"/>
      <c r="AA135" s="207"/>
      <c r="AB135" s="824">
        <f>IFERROR(VLOOKUP(Ram_4!$H$25,kombinace_1!DT:DU,2,0),Ram_4!$H$25)</f>
        <v>0</v>
      </c>
      <c r="AC135" s="824"/>
      <c r="AD135" s="824"/>
      <c r="AE135" s="824"/>
      <c r="AF135" s="824"/>
      <c r="AG135" s="824"/>
      <c r="AH135" s="824"/>
      <c r="AI135" s="824"/>
      <c r="AJ135" s="824"/>
      <c r="AK135" s="824"/>
      <c r="AL135" s="824"/>
      <c r="AM135" s="824"/>
      <c r="AN135" s="824"/>
      <c r="AQ135" s="847"/>
      <c r="BL135" s="1" t="s">
        <v>564</v>
      </c>
      <c r="BM135" s="1" t="s">
        <v>486</v>
      </c>
      <c r="BR135" s="1" t="s">
        <v>561</v>
      </c>
      <c r="BS135" s="1" t="s">
        <v>484</v>
      </c>
    </row>
    <row r="136" spans="18:79" ht="16.350000000000001" customHeight="1">
      <c r="V136" s="825" t="str">
        <f>'Translate&amp;Prices&amp;Logo'!$O$549</f>
        <v>Rozstaw uchwytu (mm)</v>
      </c>
      <c r="W136" s="825"/>
      <c r="X136" s="825"/>
      <c r="Y136" s="825"/>
      <c r="Z136" s="825"/>
      <c r="AA136" s="207"/>
      <c r="AB136" s="824">
        <f>Ram_4!$H$26</f>
        <v>0</v>
      </c>
      <c r="AC136" s="824"/>
      <c r="AD136" s="824"/>
      <c r="AE136" s="824"/>
      <c r="AF136" s="824"/>
      <c r="AG136" s="824"/>
      <c r="AH136" s="824"/>
      <c r="AI136" s="824"/>
      <c r="AJ136" s="824"/>
      <c r="AK136" s="824"/>
      <c r="AL136" s="824"/>
      <c r="AM136" s="824"/>
      <c r="AN136" s="824"/>
      <c r="AQ136" s="847"/>
      <c r="BL136" s="1" t="s">
        <v>565</v>
      </c>
      <c r="BM136" s="1" t="s">
        <v>487</v>
      </c>
      <c r="BR136" s="1" t="s">
        <v>2322</v>
      </c>
      <c r="BS136" s="1" t="s">
        <v>2086</v>
      </c>
    </row>
    <row r="137" spans="18:79" ht="16.350000000000001" customHeight="1">
      <c r="V137" s="825" t="str">
        <f>'Translate&amp;Prices&amp;Logo'!$O$550</f>
        <v>Umieszczenie uchwytu</v>
      </c>
      <c r="W137" s="825"/>
      <c r="X137" s="825"/>
      <c r="Y137" s="825"/>
      <c r="Z137" s="825"/>
      <c r="AA137" s="207"/>
      <c r="AB137" s="824">
        <f>IFERROR(VLOOKUP(Ram_4!$H$27,BR120:BS139,2,0),0)</f>
        <v>0</v>
      </c>
      <c r="AC137" s="824"/>
      <c r="AD137" s="824"/>
      <c r="AE137" s="824"/>
      <c r="AF137" s="824"/>
      <c r="AG137" s="824"/>
      <c r="AH137" s="824"/>
      <c r="AI137" s="824"/>
      <c r="AJ137" s="824"/>
      <c r="AK137" s="824"/>
      <c r="AL137" s="824"/>
      <c r="AM137" s="824"/>
      <c r="AN137" s="824"/>
      <c r="AQ137" s="847"/>
      <c r="BL137" s="1" t="s">
        <v>566</v>
      </c>
      <c r="BM137" s="1" t="s">
        <v>488</v>
      </c>
      <c r="BR137" s="1" t="s">
        <v>1734</v>
      </c>
      <c r="BS137" s="1" t="s">
        <v>2271</v>
      </c>
    </row>
    <row r="138" spans="18:79" ht="16.350000000000001" customHeight="1">
      <c r="V138" s="825" t="str">
        <f>('Translate&amp;Prices&amp;Logo'!$O$174)&amp;" "&amp;"-"&amp;" "&amp;('Translate&amp;Prices&amp;Logo'!$O$169)&amp;" "&amp;" "&amp;4</f>
        <v>Ilość sztuk - Ramka  4</v>
      </c>
      <c r="W138" s="825"/>
      <c r="X138" s="825"/>
      <c r="Y138" s="825"/>
      <c r="Z138" s="825"/>
      <c r="AA138" s="207"/>
      <c r="AB138" s="824">
        <f>Ram_4!$H$28</f>
        <v>0</v>
      </c>
      <c r="AC138" s="824"/>
      <c r="AD138" s="824"/>
      <c r="AE138" s="824"/>
      <c r="AF138" s="824"/>
      <c r="AG138" s="824"/>
      <c r="AH138" s="824"/>
      <c r="AI138" s="824"/>
      <c r="AJ138" s="824"/>
      <c r="AK138" s="824"/>
      <c r="AL138" s="824"/>
      <c r="AM138" s="824"/>
      <c r="AN138" s="824"/>
      <c r="AQ138" s="847"/>
      <c r="BL138" s="1" t="s">
        <v>567</v>
      </c>
      <c r="BM138" s="1" t="s">
        <v>489</v>
      </c>
      <c r="BR138" s="1" t="s">
        <v>1693</v>
      </c>
      <c r="BS138" s="1" t="s">
        <v>483</v>
      </c>
    </row>
    <row r="139" spans="18:79" ht="16.350000000000001" customHeight="1">
      <c r="AD139" s="1"/>
      <c r="AE139" s="1"/>
      <c r="AQ139" s="847"/>
      <c r="BL139" s="1" t="s">
        <v>2220</v>
      </c>
      <c r="BM139" s="1" t="s">
        <v>2272</v>
      </c>
      <c r="BR139" s="1" t="s">
        <v>1694</v>
      </c>
      <c r="BS139" s="1" t="s">
        <v>484</v>
      </c>
    </row>
    <row r="140" spans="18:79" ht="14.85" customHeight="1">
      <c r="AQ140" s="847"/>
      <c r="BL140" s="1" t="s">
        <v>2323</v>
      </c>
      <c r="BM140" s="1" t="s">
        <v>486</v>
      </c>
    </row>
    <row r="141" spans="18:79" ht="14.85" customHeight="1">
      <c r="V141" s="836" t="s">
        <v>2572</v>
      </c>
      <c r="W141" s="836"/>
      <c r="X141" s="836"/>
      <c r="Y141" s="836"/>
      <c r="AD141" s="836" t="s">
        <v>2573</v>
      </c>
      <c r="AE141" s="836"/>
      <c r="AF141" s="836"/>
      <c r="AG141" s="836"/>
      <c r="AQ141" s="847"/>
      <c r="BL141" s="1" t="s">
        <v>2324</v>
      </c>
      <c r="BM141" s="1" t="s">
        <v>487</v>
      </c>
    </row>
    <row r="142" spans="18:79" ht="14.85" customHeight="1">
      <c r="AD142" s="827"/>
      <c r="AE142" s="828"/>
      <c r="AF142" s="828"/>
      <c r="AG142" s="828"/>
      <c r="AH142" s="828"/>
      <c r="AI142" s="828"/>
      <c r="AJ142" s="828"/>
      <c r="AK142" s="828"/>
      <c r="AL142" s="828"/>
      <c r="AM142" s="829"/>
      <c r="AQ142" s="847"/>
      <c r="BL142" s="1" t="s">
        <v>2448</v>
      </c>
      <c r="BM142" s="1" t="s">
        <v>488</v>
      </c>
    </row>
    <row r="143" spans="18:79" ht="14.85" customHeight="1">
      <c r="AD143" s="830"/>
      <c r="AE143" s="831"/>
      <c r="AF143" s="831"/>
      <c r="AG143" s="831"/>
      <c r="AH143" s="831"/>
      <c r="AI143" s="831"/>
      <c r="AJ143" s="831"/>
      <c r="AK143" s="831"/>
      <c r="AL143" s="831"/>
      <c r="AM143" s="832"/>
      <c r="AQ143" s="847"/>
      <c r="BL143" s="1" t="s">
        <v>2449</v>
      </c>
      <c r="BM143" s="1" t="s">
        <v>489</v>
      </c>
    </row>
    <row r="144" spans="18:79" ht="14.85" customHeight="1">
      <c r="AD144" s="830"/>
      <c r="AE144" s="831"/>
      <c r="AF144" s="831"/>
      <c r="AG144" s="831"/>
      <c r="AH144" s="831"/>
      <c r="AI144" s="831"/>
      <c r="AJ144" s="831"/>
      <c r="AK144" s="831"/>
      <c r="AL144" s="831"/>
      <c r="AM144" s="832"/>
      <c r="AQ144" s="847"/>
      <c r="BL144" s="1" t="s">
        <v>1898</v>
      </c>
      <c r="BM144" s="1" t="s">
        <v>2272</v>
      </c>
    </row>
    <row r="145" spans="1:79" ht="14.85" customHeight="1">
      <c r="C145" s="844">
        <f>IF(OR(Ram_4!$AC$25="x",Ram_4!$AJ$26="x",Ram_4!$AC$9="x",Ram_4!$AJ$7="x",Ram_4!$AB$16="x",Ram_4!$AM$23="x",Ram_4!$AN$19="x",Ram_4!$AD$10="x"),'Translate&amp;Prices&amp;Logo'!$B$588,0)</f>
        <v>0</v>
      </c>
      <c r="D145" s="844"/>
      <c r="E145" s="844"/>
      <c r="F145" s="844"/>
      <c r="G145" s="844"/>
      <c r="H145" s="844"/>
      <c r="I145" s="844"/>
      <c r="J145" s="844"/>
      <c r="K145" s="844"/>
      <c r="L145" s="844"/>
      <c r="M145" s="844"/>
      <c r="N145" s="844"/>
      <c r="O145" s="844"/>
      <c r="AD145" s="830"/>
      <c r="AE145" s="831"/>
      <c r="AF145" s="831"/>
      <c r="AG145" s="831"/>
      <c r="AH145" s="831"/>
      <c r="AI145" s="831"/>
      <c r="AJ145" s="831"/>
      <c r="AK145" s="831"/>
      <c r="AL145" s="831"/>
      <c r="AM145" s="832"/>
      <c r="AQ145" s="847"/>
    </row>
    <row r="146" spans="1:79" ht="14.85" customHeight="1">
      <c r="AD146" s="830"/>
      <c r="AE146" s="831"/>
      <c r="AF146" s="831"/>
      <c r="AG146" s="831"/>
      <c r="AH146" s="831"/>
      <c r="AI146" s="831"/>
      <c r="AJ146" s="831"/>
      <c r="AK146" s="831"/>
      <c r="AL146" s="831"/>
      <c r="AM146" s="832"/>
      <c r="AQ146" s="847"/>
    </row>
    <row r="147" spans="1:79" ht="14.85" customHeight="1" thickBot="1">
      <c r="AD147" s="830"/>
      <c r="AE147" s="831"/>
      <c r="AF147" s="831"/>
      <c r="AG147" s="831"/>
      <c r="AH147" s="831"/>
      <c r="AI147" s="831"/>
      <c r="AJ147" s="831"/>
      <c r="AK147" s="831"/>
      <c r="AL147" s="831"/>
      <c r="AM147" s="832"/>
      <c r="AQ147" s="847"/>
    </row>
    <row r="148" spans="1:79" ht="14.85" customHeight="1" thickBot="1">
      <c r="F148" s="816" t="str">
        <f>'Translate&amp;Prices&amp;Logo'!$O$175</f>
        <v>Szerokość</v>
      </c>
      <c r="G148" s="817">
        <f>Ram_1!AG138</f>
        <v>0</v>
      </c>
      <c r="H148" s="817">
        <f>Ram_1!AH138</f>
        <v>0</v>
      </c>
      <c r="I148" s="818">
        <f>Ram_4!AI30</f>
        <v>0</v>
      </c>
      <c r="J148" s="818">
        <f>Ram_1!AJ138</f>
        <v>0</v>
      </c>
      <c r="K148" s="819">
        <f>Ram_1!AK138</f>
        <v>0</v>
      </c>
      <c r="AD148" s="830"/>
      <c r="AE148" s="831"/>
      <c r="AF148" s="831"/>
      <c r="AG148" s="831"/>
      <c r="AH148" s="831"/>
      <c r="AI148" s="831"/>
      <c r="AJ148" s="831"/>
      <c r="AK148" s="831"/>
      <c r="AL148" s="831"/>
      <c r="AM148" s="832"/>
      <c r="AQ148" s="847"/>
    </row>
    <row r="149" spans="1:79" ht="21" customHeight="1">
      <c r="AD149" s="833"/>
      <c r="AE149" s="834"/>
      <c r="AF149" s="834"/>
      <c r="AG149" s="834"/>
      <c r="AH149" s="834"/>
      <c r="AI149" s="834"/>
      <c r="AJ149" s="834"/>
      <c r="AK149" s="834"/>
      <c r="AL149" s="834"/>
      <c r="AM149" s="835"/>
      <c r="AQ149" s="847"/>
    </row>
    <row r="150" spans="1:79" ht="14.85" customHeight="1">
      <c r="AQ150" s="847"/>
    </row>
    <row r="151" spans="1:79" ht="14.85" customHeight="1">
      <c r="AQ151" s="847"/>
    </row>
    <row r="152" spans="1:79" ht="14.85" customHeight="1" thickBot="1">
      <c r="A152" s="123"/>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276"/>
      <c r="AE152" s="277"/>
      <c r="AF152" s="123"/>
      <c r="AG152" s="123"/>
      <c r="AH152" s="123"/>
      <c r="AI152" s="123"/>
      <c r="AJ152" s="123"/>
      <c r="AK152" s="123"/>
      <c r="AL152" s="123"/>
      <c r="AM152" s="123"/>
      <c r="AN152" s="123"/>
      <c r="AO152" s="123"/>
      <c r="AP152" s="123"/>
      <c r="AQ152" s="123"/>
    </row>
    <row r="153" spans="1:79" ht="35.1" customHeight="1" thickBot="1">
      <c r="I153" s="273"/>
      <c r="J153" s="273"/>
      <c r="K153" s="273"/>
      <c r="L153" s="273"/>
      <c r="M153" s="273"/>
      <c r="N153" s="273"/>
      <c r="O153" s="273"/>
      <c r="P153" s="273"/>
      <c r="Q153" s="273"/>
      <c r="R153" s="273"/>
      <c r="S153" s="273"/>
      <c r="T153" s="273"/>
      <c r="U153" s="273"/>
      <c r="V153" s="840" t="str">
        <f>'Translate&amp;Prices&amp;Logo'!$O$256</f>
        <v>Numer zamówienia</v>
      </c>
      <c r="W153" s="840"/>
      <c r="X153" s="840"/>
      <c r="Y153" s="840"/>
      <c r="Z153" s="840"/>
      <c r="AA153" s="207"/>
      <c r="AB153" s="837"/>
      <c r="AC153" s="838"/>
      <c r="AD153" s="838"/>
      <c r="AE153" s="838"/>
      <c r="AF153" s="838"/>
      <c r="AG153" s="838"/>
      <c r="AH153" s="838"/>
      <c r="AI153" s="838"/>
      <c r="AJ153" s="838"/>
      <c r="AK153" s="838"/>
      <c r="AL153" s="838"/>
      <c r="AM153" s="838"/>
      <c r="AN153" s="839"/>
      <c r="AQ153" s="847" t="s">
        <v>2578</v>
      </c>
    </row>
    <row r="154" spans="1:79" ht="16.350000000000001" customHeight="1">
      <c r="V154" s="825" t="str">
        <f>'Translate&amp;Prices&amp;Logo'!$O$542</f>
        <v>Połączenie 2 profili</v>
      </c>
      <c r="W154" s="825"/>
      <c r="X154" s="825"/>
      <c r="Y154" s="825"/>
      <c r="Z154" s="825"/>
      <c r="AA154" s="207"/>
      <c r="AB154" s="848" t="str">
        <f>IF(kombinace_5!$H$1=TRUE,"Tak","Nie")</f>
        <v>Nie</v>
      </c>
      <c r="AC154" s="848"/>
      <c r="AD154" s="848"/>
      <c r="AE154" s="848"/>
      <c r="AF154" s="848"/>
      <c r="AG154" s="848"/>
      <c r="AH154" s="848"/>
      <c r="AI154" s="848"/>
      <c r="AJ154" s="848"/>
      <c r="AK154" s="848"/>
      <c r="AL154" s="848"/>
      <c r="AM154" s="848"/>
      <c r="AN154" s="848"/>
      <c r="AQ154" s="847"/>
    </row>
    <row r="155" spans="1:79" ht="16.350000000000001" customHeight="1">
      <c r="V155" s="825" t="str">
        <f>'Translate&amp;Prices&amp;Logo'!$O$172</f>
        <v>Rodzaj profilu</v>
      </c>
      <c r="W155" s="825"/>
      <c r="X155" s="825"/>
      <c r="Y155" s="825"/>
      <c r="Z155" s="825"/>
      <c r="AA155" s="207"/>
      <c r="AB155" s="824">
        <f>IFERROR(VLOOKUP(Ram_5!$H$8,'Translate&amp;Prices&amp;Logo'!AA:AB,2,0),Ram_5!$H$8)</f>
        <v>0</v>
      </c>
      <c r="AC155" s="824"/>
      <c r="AD155" s="824"/>
      <c r="AE155" s="824"/>
      <c r="AF155" s="824"/>
      <c r="AG155" s="824"/>
      <c r="AH155" s="824"/>
      <c r="AI155" s="824"/>
      <c r="AJ155" s="824"/>
      <c r="AK155" s="824"/>
      <c r="AL155" s="824"/>
      <c r="AM155" s="824"/>
      <c r="AN155" s="824"/>
      <c r="AQ155" s="847"/>
    </row>
    <row r="156" spans="1:79" ht="16.350000000000001" customHeight="1">
      <c r="V156" s="825" t="str">
        <f>'Translate&amp;Prices&amp;Logo'!$O$543</f>
        <v>Szprosy</v>
      </c>
      <c r="W156" s="825"/>
      <c r="X156" s="825"/>
      <c r="Y156" s="825"/>
      <c r="Z156" s="825"/>
      <c r="AA156" s="207"/>
      <c r="AB156" s="824" t="str">
        <f>IFERROR(VLOOKUP(Ram_5!$AU$10,AT156:AU159,2,0),0)</f>
        <v>Nie</v>
      </c>
      <c r="AC156" s="824"/>
      <c r="AD156" s="824"/>
      <c r="AE156" s="824"/>
      <c r="AF156" s="824"/>
      <c r="AG156" s="824"/>
      <c r="AH156" s="824"/>
      <c r="AI156" s="824"/>
      <c r="AJ156" s="824"/>
      <c r="AK156" s="824"/>
      <c r="AL156" s="824"/>
      <c r="AM156" s="824"/>
      <c r="AN156" s="824"/>
      <c r="AQ156" s="847"/>
      <c r="AT156">
        <v>0</v>
      </c>
      <c r="AU156" t="str">
        <f>'Translate&amp;Prices&amp;Logo'!$O$557</f>
        <v>Nie</v>
      </c>
      <c r="AY156">
        <v>2</v>
      </c>
      <c r="AZ156" t="str">
        <f>'Translate&amp;Prices&amp;Logo'!$O$551</f>
        <v>Zawiasy</v>
      </c>
      <c r="BC156" s="1" t="s">
        <v>98</v>
      </c>
      <c r="BD156" s="1" t="s">
        <v>452</v>
      </c>
      <c r="BH156" s="1" t="s">
        <v>75</v>
      </c>
      <c r="BI156" s="1" t="s">
        <v>446</v>
      </c>
      <c r="BL156" s="1" t="s">
        <v>215</v>
      </c>
      <c r="BM156" s="1" t="s">
        <v>486</v>
      </c>
      <c r="BR156" s="1" t="s">
        <v>221</v>
      </c>
      <c r="BS156" s="1" t="s">
        <v>2086</v>
      </c>
      <c r="BW156" s="1">
        <v>1</v>
      </c>
      <c r="BX156" s="1" t="str">
        <f>'Translate&amp;Prices&amp;Logo'!$O$100</f>
        <v>Bez modyfikacji</v>
      </c>
      <c r="BZ156" t="s">
        <v>1886</v>
      </c>
      <c r="CA156" t="s">
        <v>2286</v>
      </c>
    </row>
    <row r="157" spans="1:79" ht="16.350000000000001" customHeight="1">
      <c r="V157" s="278"/>
      <c r="W157" s="278"/>
      <c r="X157" s="278"/>
      <c r="Y157" s="278"/>
      <c r="Z157" s="278"/>
      <c r="AA157" s="207"/>
      <c r="AB157" s="849" t="str">
        <f>'Translate&amp;Prices&amp;Logo'!$O$558</f>
        <v>Poziomo (termin dostawy 4 tygodnie)</v>
      </c>
      <c r="AC157" s="849"/>
      <c r="AD157" s="849"/>
      <c r="AE157" s="849"/>
      <c r="AF157" s="849"/>
      <c r="AG157" s="849"/>
      <c r="AH157" s="849"/>
      <c r="AI157" s="849" t="str">
        <f>'Translate&amp;Prices&amp;Logo'!$O$559</f>
        <v>Pionowo (termin dostawy 4 tygodnie)</v>
      </c>
      <c r="AJ157" s="849"/>
      <c r="AK157" s="849"/>
      <c r="AL157" s="849"/>
      <c r="AM157" s="849"/>
      <c r="AN157" s="849"/>
      <c r="AQ157" s="847"/>
      <c r="AT157">
        <v>1</v>
      </c>
      <c r="AU157" t="str">
        <f>'Translate&amp;Prices&amp;Logo'!$O$558</f>
        <v>Poziomo (termin dostawy 4 tygodnie)</v>
      </c>
      <c r="AY157">
        <v>3</v>
      </c>
      <c r="AZ157" t="str">
        <f>'Translate&amp;Prices&amp;Logo'!$O$552</f>
        <v>Podnośniki</v>
      </c>
      <c r="BC157" s="1" t="s">
        <v>99</v>
      </c>
      <c r="BD157" s="1" t="s">
        <v>453</v>
      </c>
      <c r="BH157" s="1" t="s">
        <v>74</v>
      </c>
      <c r="BI157" s="1" t="s">
        <v>447</v>
      </c>
      <c r="BL157" s="1" t="s">
        <v>216</v>
      </c>
      <c r="BM157" s="1" t="s">
        <v>487</v>
      </c>
      <c r="BR157" s="1" t="s">
        <v>222</v>
      </c>
      <c r="BS157" s="1" t="s">
        <v>2271</v>
      </c>
      <c r="BW157" s="1">
        <v>2</v>
      </c>
      <c r="BX157" s="1" t="str">
        <f>'Translate&amp;Prices&amp;Logo'!$O$101</f>
        <v>Hartowane</v>
      </c>
      <c r="BZ157" t="s">
        <v>1889</v>
      </c>
      <c r="CA157" t="s">
        <v>2287</v>
      </c>
    </row>
    <row r="158" spans="1:79" ht="16.350000000000001" customHeight="1">
      <c r="V158" s="825" t="str">
        <f>('Translate&amp;Prices&amp;Logo'!$O$543)&amp;" "&amp;"("&amp;'Translate&amp;Prices&amp;Logo'!$O$174&amp;")"</f>
        <v>Szprosy (Ilość sztuk)</v>
      </c>
      <c r="W158" s="825"/>
      <c r="X158" s="825"/>
      <c r="Y158" s="825"/>
      <c r="Z158" s="825"/>
      <c r="AA158" s="207"/>
      <c r="AB158" s="824">
        <f>Ram_5!$H$11</f>
        <v>0</v>
      </c>
      <c r="AC158" s="824"/>
      <c r="AD158" s="824"/>
      <c r="AE158" s="824"/>
      <c r="AF158" s="824"/>
      <c r="AG158" s="824"/>
      <c r="AH158" s="824"/>
      <c r="AI158" s="824">
        <f>Ram_5!$M$11</f>
        <v>0</v>
      </c>
      <c r="AJ158" s="824"/>
      <c r="AK158" s="824"/>
      <c r="AL158" s="824"/>
      <c r="AM158" s="824"/>
      <c r="AN158" s="824"/>
      <c r="AQ158" s="847"/>
      <c r="AT158">
        <v>2</v>
      </c>
      <c r="AU158" t="str">
        <f>'Translate&amp;Prices&amp;Logo'!$O$559</f>
        <v>Pionowo (termin dostawy 4 tygodnie)</v>
      </c>
      <c r="BC158" s="1" t="s">
        <v>100</v>
      </c>
      <c r="BD158" s="1" t="s">
        <v>2101</v>
      </c>
      <c r="BH158" s="1" t="s">
        <v>387</v>
      </c>
      <c r="BI158" s="1" t="s">
        <v>446</v>
      </c>
      <c r="BL158" s="1" t="s">
        <v>218</v>
      </c>
      <c r="BM158" s="1" t="s">
        <v>488</v>
      </c>
      <c r="BR158" s="1" t="s">
        <v>212</v>
      </c>
      <c r="BS158" s="1" t="s">
        <v>483</v>
      </c>
      <c r="BW158" s="1">
        <v>3</v>
      </c>
      <c r="BX158" s="1" t="str">
        <f>'Translate&amp;Prices&amp;Logo'!$O$102</f>
        <v>Folia</v>
      </c>
      <c r="BZ158" t="s">
        <v>1892</v>
      </c>
      <c r="CA158" t="s">
        <v>2288</v>
      </c>
    </row>
    <row r="159" spans="1:79" ht="16.350000000000001" customHeight="1">
      <c r="V159" s="825" t="str">
        <f>'Translate&amp;Prices&amp;Logo'!$O$258</f>
        <v>Typ okucia</v>
      </c>
      <c r="W159" s="825"/>
      <c r="X159" s="825"/>
      <c r="Y159" s="825"/>
      <c r="Z159" s="825"/>
      <c r="AA159" s="207"/>
      <c r="AB159" s="824">
        <f>IFERROR(VLOOKUP(Ram_5!$AU$9,AY156:AZ157,2,0),0)</f>
        <v>0</v>
      </c>
      <c r="AC159" s="824"/>
      <c r="AD159" s="824"/>
      <c r="AE159" s="824"/>
      <c r="AF159" s="824"/>
      <c r="AG159" s="824"/>
      <c r="AH159" s="824"/>
      <c r="AI159" s="824"/>
      <c r="AJ159" s="824"/>
      <c r="AK159" s="824"/>
      <c r="AL159" s="824"/>
      <c r="AM159" s="824"/>
      <c r="AN159" s="824"/>
      <c r="AQ159" s="847"/>
      <c r="AT159">
        <v>3</v>
      </c>
      <c r="AU159" t="str">
        <f>'Translate&amp;Prices&amp;Logo'!$O$560</f>
        <v>Poziomo i pionowo (termin dostawy 4 tygodnie)</v>
      </c>
      <c r="BC159" s="1" t="s">
        <v>98</v>
      </c>
      <c r="BD159" s="1" t="s">
        <v>452</v>
      </c>
      <c r="BH159" s="1" t="s">
        <v>388</v>
      </c>
      <c r="BI159" s="1" t="s">
        <v>447</v>
      </c>
      <c r="BL159" s="1" t="s">
        <v>217</v>
      </c>
      <c r="BM159" s="1" t="s">
        <v>489</v>
      </c>
      <c r="BR159" s="1" t="s">
        <v>211</v>
      </c>
      <c r="BS159" s="1" t="s">
        <v>484</v>
      </c>
      <c r="BZ159" t="s">
        <v>2175</v>
      </c>
      <c r="CA159" t="s">
        <v>2286</v>
      </c>
    </row>
    <row r="160" spans="1:79" ht="16.350000000000001" customHeight="1">
      <c r="V160" s="825" t="str">
        <f>'Translate&amp;Prices&amp;Logo'!$O$544</f>
        <v>Marka okucia</v>
      </c>
      <c r="W160" s="825"/>
      <c r="X160" s="825"/>
      <c r="Y160" s="825"/>
      <c r="Z160" s="825"/>
      <c r="AA160" s="207"/>
      <c r="AB160" s="824">
        <f>Ram_5!$H$13</f>
        <v>0</v>
      </c>
      <c r="AC160" s="824"/>
      <c r="AD160" s="824"/>
      <c r="AE160" s="824"/>
      <c r="AF160" s="824"/>
      <c r="AG160" s="824"/>
      <c r="AH160" s="824"/>
      <c r="AI160" s="824"/>
      <c r="AJ160" s="824"/>
      <c r="AK160" s="824"/>
      <c r="AL160" s="824"/>
      <c r="AM160" s="824"/>
      <c r="AN160" s="824"/>
      <c r="AQ160" s="847"/>
      <c r="BC160" s="1" t="s">
        <v>99</v>
      </c>
      <c r="BD160" s="1" t="s">
        <v>453</v>
      </c>
      <c r="BH160" s="1" t="s">
        <v>705</v>
      </c>
      <c r="BI160" s="1" t="s">
        <v>446</v>
      </c>
      <c r="BL160" s="1" t="s">
        <v>219</v>
      </c>
      <c r="BM160" s="1" t="s">
        <v>2272</v>
      </c>
      <c r="BR160" s="1" t="s">
        <v>2088</v>
      </c>
      <c r="BS160" s="1" t="s">
        <v>2086</v>
      </c>
      <c r="BZ160" t="s">
        <v>2176</v>
      </c>
      <c r="CA160" t="s">
        <v>2287</v>
      </c>
    </row>
    <row r="161" spans="18:79" ht="16.350000000000001" customHeight="1" thickBot="1">
      <c r="V161" s="825" t="str">
        <f>'Translate&amp;Prices&amp;Logo'!$O$546</f>
        <v>Nałożenie</v>
      </c>
      <c r="W161" s="825"/>
      <c r="X161" s="825"/>
      <c r="Y161" s="825"/>
      <c r="Z161" s="825"/>
      <c r="AA161" s="207"/>
      <c r="AB161" s="824">
        <f>IFERROR(VLOOKUP(Ram_5!$H$14,BC156:BD170,2,0),0)</f>
        <v>0</v>
      </c>
      <c r="AC161" s="824"/>
      <c r="AD161" s="824"/>
      <c r="AE161" s="824"/>
      <c r="AF161" s="824"/>
      <c r="AG161" s="824"/>
      <c r="AH161" s="824"/>
      <c r="AI161" s="824"/>
      <c r="AJ161" s="824"/>
      <c r="AK161" s="824"/>
      <c r="AL161" s="824"/>
      <c r="AM161" s="824"/>
      <c r="AN161" s="824"/>
      <c r="AQ161" s="847"/>
      <c r="BC161" s="1" t="s">
        <v>100</v>
      </c>
      <c r="BD161" s="1" t="s">
        <v>2101</v>
      </c>
      <c r="BH161" s="1" t="s">
        <v>523</v>
      </c>
      <c r="BI161" s="1" t="s">
        <v>447</v>
      </c>
      <c r="BL161" s="1" t="s">
        <v>421</v>
      </c>
      <c r="BM161" s="1" t="s">
        <v>486</v>
      </c>
      <c r="BR161" s="1" t="s">
        <v>222</v>
      </c>
      <c r="BS161" s="1" t="s">
        <v>2271</v>
      </c>
      <c r="BZ161" t="s">
        <v>2177</v>
      </c>
      <c r="CA161" t="s">
        <v>2288</v>
      </c>
    </row>
    <row r="162" spans="18:79" ht="16.350000000000001" customHeight="1">
      <c r="R162" s="822">
        <f>Ram_5!AR14</f>
        <v>0</v>
      </c>
      <c r="V162" s="825" t="str">
        <f>'Translate&amp;Prices&amp;Logo'!$O$545</f>
        <v>Wariant okucia</v>
      </c>
      <c r="W162" s="825"/>
      <c r="X162" s="825"/>
      <c r="Y162" s="825"/>
      <c r="Z162" s="825"/>
      <c r="AA162" s="207"/>
      <c r="AB162" s="824">
        <f>IFERROR(VLOOKUP(Ram_5!$H$15,kombinace_1!$ED:$EE,2,0),Ram_5!$H$15)</f>
        <v>0</v>
      </c>
      <c r="AC162" s="824"/>
      <c r="AD162" s="824"/>
      <c r="AE162" s="824"/>
      <c r="AF162" s="824"/>
      <c r="AG162" s="824"/>
      <c r="AH162" s="824" t="str">
        <f>IF(AB162='Translate&amp;Prices&amp;Logo'!C698,VLOOKUP(Ram_5!H17,'Translate&amp;Prices&amp;Logo'!C699:D718,2,0),"")</f>
        <v/>
      </c>
      <c r="AI162" s="824"/>
      <c r="AJ162" s="824"/>
      <c r="AK162" s="824"/>
      <c r="AL162" s="824"/>
      <c r="AM162" s="824"/>
      <c r="AN162" s="824"/>
      <c r="AQ162" s="847"/>
      <c r="BC162" s="1" t="s">
        <v>452</v>
      </c>
      <c r="BD162" s="1" t="s">
        <v>452</v>
      </c>
      <c r="BH162" s="1" t="s">
        <v>2315</v>
      </c>
      <c r="BI162" s="1" t="s">
        <v>446</v>
      </c>
      <c r="BL162" s="1" t="s">
        <v>422</v>
      </c>
      <c r="BM162" s="1" t="s">
        <v>487</v>
      </c>
      <c r="BR162" s="1" t="s">
        <v>417</v>
      </c>
      <c r="BS162" s="1" t="s">
        <v>483</v>
      </c>
      <c r="BZ162" t="s">
        <v>2286</v>
      </c>
      <c r="CA162" t="s">
        <v>2286</v>
      </c>
    </row>
    <row r="163" spans="18:79" ht="16.350000000000001" customHeight="1">
      <c r="R163" s="823">
        <f>Ram_1!AR159</f>
        <v>0</v>
      </c>
      <c r="V163" s="825" t="str">
        <f>'Translate&amp;Prices&amp;Logo'!$O$218</f>
        <v>Wybierz pozycję ramki</v>
      </c>
      <c r="W163" s="825"/>
      <c r="X163" s="825"/>
      <c r="Y163" s="825"/>
      <c r="Z163" s="825"/>
      <c r="AA163" s="824">
        <f>IFERROR(VLOOKUP(Ram_5!$F$16,BH156:BI165,2,0),0)</f>
        <v>0</v>
      </c>
      <c r="AB163" s="824"/>
      <c r="AC163" s="824"/>
      <c r="AD163" s="824"/>
      <c r="AE163" s="824"/>
      <c r="AF163" s="825" t="str">
        <f>'Translate&amp;Prices&amp;Logo'!$O$232</f>
        <v>Rodzaj drugiej ramki</v>
      </c>
      <c r="AG163" s="825"/>
      <c r="AH163" s="825"/>
      <c r="AI163" s="825"/>
      <c r="AJ163" s="825"/>
      <c r="AK163" s="824">
        <f>IFERROR(VLOOKUP(Ram_5!$N$16,BL156:BM180,2,0),0)</f>
        <v>0</v>
      </c>
      <c r="AL163" s="824"/>
      <c r="AM163" s="824"/>
      <c r="AN163" s="824"/>
      <c r="AQ163" s="847"/>
      <c r="BC163" s="1" t="s">
        <v>453</v>
      </c>
      <c r="BD163" s="1" t="s">
        <v>453</v>
      </c>
      <c r="BH163" s="1" t="s">
        <v>2316</v>
      </c>
      <c r="BI163" s="1" t="s">
        <v>447</v>
      </c>
      <c r="BL163" s="1" t="s">
        <v>423</v>
      </c>
      <c r="BM163" s="1" t="s">
        <v>488</v>
      </c>
      <c r="BR163" s="1" t="s">
        <v>418</v>
      </c>
      <c r="BS163" s="1" t="s">
        <v>484</v>
      </c>
      <c r="BZ163" t="s">
        <v>2287</v>
      </c>
      <c r="CA163" t="s">
        <v>2287</v>
      </c>
    </row>
    <row r="164" spans="18:79" ht="16.350000000000001" customHeight="1">
      <c r="R164" s="823">
        <f>Ram_1!AR160</f>
        <v>0</v>
      </c>
      <c r="V164" s="825" t="str">
        <f>IF(AB159='Translate&amp;Prices&amp;Logo'!O551,'Translate&amp;Prices&amp;Logo'!O238,'Translate&amp;Prices&amp;Logo'!$O$226)</f>
        <v>Umieszczenie</v>
      </c>
      <c r="W164" s="825"/>
      <c r="X164" s="825"/>
      <c r="Y164" s="825"/>
      <c r="Z164" s="825"/>
      <c r="AA164" s="207"/>
      <c r="AB164" s="824" t="str">
        <f>IFERROR((IF(Ram_5!H12='Translate&amp;Prices&amp;Logo'!B552,VLOOKUP(Ram_5!$N$16,BR48:BS67,2,0),VLOOKUP(Ram_5!$H$17,BR48:BS67,2,0))),"")</f>
        <v/>
      </c>
      <c r="AC164" s="824"/>
      <c r="AD164" s="824"/>
      <c r="AE164" s="824"/>
      <c r="AF164" s="824"/>
      <c r="AG164" s="824"/>
      <c r="AH164" s="824"/>
      <c r="AI164" s="824"/>
      <c r="AJ164" s="824"/>
      <c r="AK164" s="824"/>
      <c r="AL164" s="824"/>
      <c r="AM164" s="824"/>
      <c r="AN164" s="824"/>
      <c r="AQ164" s="847"/>
      <c r="BC164" s="1" t="s">
        <v>2101</v>
      </c>
      <c r="BD164" s="1" t="s">
        <v>2101</v>
      </c>
      <c r="BH164" s="1" t="s">
        <v>446</v>
      </c>
      <c r="BI164" s="1" t="s">
        <v>446</v>
      </c>
      <c r="BL164" s="1" t="s">
        <v>424</v>
      </c>
      <c r="BM164" s="1" t="s">
        <v>489</v>
      </c>
      <c r="BR164" s="1" t="s">
        <v>2086</v>
      </c>
      <c r="BS164" s="1" t="s">
        <v>2086</v>
      </c>
      <c r="BZ164" t="s">
        <v>2288</v>
      </c>
      <c r="CA164" t="s">
        <v>2288</v>
      </c>
    </row>
    <row r="165" spans="18:79" ht="16.350000000000001" customHeight="1">
      <c r="R165" s="823">
        <f>Ram_1!AR161</f>
        <v>0</v>
      </c>
      <c r="V165" s="825" t="str">
        <f>'Translate&amp;Prices&amp;Logo'!$O$547</f>
        <v>Zawiasy do podnośników</v>
      </c>
      <c r="W165" s="825"/>
      <c r="X165" s="825"/>
      <c r="Y165" s="825"/>
      <c r="Z165" s="825"/>
      <c r="AA165" s="207"/>
      <c r="AB165" s="824" t="str">
        <f>IFERROR((VLOOKUP(Ram_5!$H$18,CJ:CK,2,0)),"")</f>
        <v/>
      </c>
      <c r="AC165" s="824"/>
      <c r="AD165" s="824"/>
      <c r="AE165" s="824"/>
      <c r="AF165" s="824"/>
      <c r="AG165" s="824"/>
      <c r="AH165" s="824"/>
      <c r="AI165" s="824"/>
      <c r="AJ165" s="824"/>
      <c r="AK165" s="824"/>
      <c r="AL165" s="824"/>
      <c r="AM165" s="824"/>
      <c r="AN165" s="824"/>
      <c r="AQ165" s="847"/>
      <c r="BC165" s="1" t="s">
        <v>528</v>
      </c>
      <c r="BD165" s="1" t="s">
        <v>452</v>
      </c>
      <c r="BH165" s="1" t="s">
        <v>447</v>
      </c>
      <c r="BI165" s="1" t="s">
        <v>447</v>
      </c>
      <c r="BL165" s="1" t="s">
        <v>425</v>
      </c>
      <c r="BM165" s="1" t="s">
        <v>2272</v>
      </c>
      <c r="BR165" s="1" t="s">
        <v>2271</v>
      </c>
      <c r="BS165" s="1" t="s">
        <v>2271</v>
      </c>
      <c r="BZ165" t="s">
        <v>2178</v>
      </c>
      <c r="CA165" t="s">
        <v>2286</v>
      </c>
    </row>
    <row r="166" spans="18:79" ht="16.350000000000001" customHeight="1">
      <c r="R166" s="823">
        <f>Ram_1!AR162</f>
        <v>0</v>
      </c>
      <c r="V166" s="825" t="str">
        <f>'Translate&amp;Prices&amp;Logo'!$O$223</f>
        <v>Ilość zawiasów na 1 ramkę</v>
      </c>
      <c r="W166" s="825"/>
      <c r="X166" s="825"/>
      <c r="Y166" s="825"/>
      <c r="Z166" s="825"/>
      <c r="AA166" s="207"/>
      <c r="AB166" s="824">
        <f>Ram_5!$H$19</f>
        <v>0</v>
      </c>
      <c r="AC166" s="824"/>
      <c r="AD166" s="824"/>
      <c r="AE166" s="824"/>
      <c r="AF166" s="824"/>
      <c r="AG166" s="824"/>
      <c r="AH166" s="824"/>
      <c r="AI166" s="824"/>
      <c r="AJ166" s="824"/>
      <c r="AK166" s="824"/>
      <c r="AL166" s="824"/>
      <c r="AM166" s="824"/>
      <c r="AN166" s="824"/>
      <c r="AQ166" s="847"/>
      <c r="BC166" s="1" t="s">
        <v>529</v>
      </c>
      <c r="BD166" s="1" t="s">
        <v>453</v>
      </c>
      <c r="BL166" s="1" t="s">
        <v>486</v>
      </c>
      <c r="BM166" s="1" t="s">
        <v>486</v>
      </c>
      <c r="BR166" s="1" t="s">
        <v>483</v>
      </c>
      <c r="BS166" s="1" t="s">
        <v>483</v>
      </c>
      <c r="BZ166" t="s">
        <v>2261</v>
      </c>
      <c r="CA166" t="s">
        <v>2287</v>
      </c>
    </row>
    <row r="167" spans="18:79" ht="16.350000000000001" customHeight="1">
      <c r="R167" s="820" t="str">
        <f>'Translate&amp;Prices&amp;Logo'!$O$176</f>
        <v>Wysokość</v>
      </c>
      <c r="V167" s="825" t="e">
        <f>'Translate&amp;Prices&amp;Logo'!$O$242&amp;" "&amp;VLOOKUP(Ram_5!H17,kombinace_1!$BY$32:$CC$35,5,0)</f>
        <v>#N/A</v>
      </c>
      <c r="W167" s="825"/>
      <c r="X167" s="825"/>
      <c r="Y167" s="825"/>
      <c r="Z167" s="825"/>
      <c r="AA167" s="824">
        <f>Ram_5!$F$20</f>
        <v>100</v>
      </c>
      <c r="AB167" s="824"/>
      <c r="AC167" s="824"/>
      <c r="AD167" s="824"/>
      <c r="AE167" s="824"/>
      <c r="AF167" s="825" t="e">
        <f>'Translate&amp;Prices&amp;Logo'!$O$242&amp;" "&amp;VLOOKUP(Ram_4!H17,kombinace_1!$BY$32:$CD$35,6,0)</f>
        <v>#N/A</v>
      </c>
      <c r="AG167" s="825"/>
      <c r="AH167" s="825"/>
      <c r="AI167" s="825"/>
      <c r="AJ167" s="825"/>
      <c r="AK167" s="824">
        <f>Ram_5!$N$20</f>
        <v>100</v>
      </c>
      <c r="AL167" s="824"/>
      <c r="AM167" s="824"/>
      <c r="AN167" s="824"/>
      <c r="AQ167" s="847"/>
      <c r="BC167" s="1" t="s">
        <v>530</v>
      </c>
      <c r="BD167" s="1" t="s">
        <v>2101</v>
      </c>
      <c r="BL167" s="1" t="s">
        <v>487</v>
      </c>
      <c r="BM167" s="1" t="s">
        <v>487</v>
      </c>
      <c r="BR167" s="1" t="s">
        <v>484</v>
      </c>
      <c r="BS167" s="1" t="s">
        <v>484</v>
      </c>
      <c r="BZ167" t="s">
        <v>2179</v>
      </c>
      <c r="CA167" t="s">
        <v>2288</v>
      </c>
    </row>
    <row r="168" spans="18:79" ht="16.350000000000001" customHeight="1">
      <c r="R168" s="820">
        <f>Ram_1!AR164</f>
        <v>0</v>
      </c>
      <c r="V168" s="403" t="str">
        <f>'Translate&amp;Prices&amp;Logo'!$O$653</f>
        <v>Wypełnienie z siatki</v>
      </c>
      <c r="W168" s="278"/>
      <c r="X168" s="278"/>
      <c r="Y168" s="278"/>
      <c r="Z168" s="278"/>
      <c r="AA168" s="207"/>
      <c r="AB168" s="826" t="str">
        <f>IF(kombinace_5!FC2=TRUE,"Tak","Nie")</f>
        <v>Nie</v>
      </c>
      <c r="AC168" s="826"/>
      <c r="AD168" s="826"/>
      <c r="AE168" s="826"/>
      <c r="AF168" s="826"/>
      <c r="AG168" s="826"/>
      <c r="AH168" s="826"/>
      <c r="AI168" s="826"/>
      <c r="AJ168" s="826"/>
      <c r="AK168" s="826"/>
      <c r="AL168" s="826"/>
      <c r="AM168" s="826"/>
      <c r="AN168" s="826"/>
      <c r="AQ168" s="847"/>
      <c r="BC168" s="1" t="s">
        <v>2563</v>
      </c>
      <c r="BD168" s="1" t="s">
        <v>452</v>
      </c>
      <c r="BL168" s="1" t="s">
        <v>488</v>
      </c>
      <c r="BM168" s="1" t="s">
        <v>488</v>
      </c>
      <c r="BR168" s="1" t="s">
        <v>2087</v>
      </c>
      <c r="BS168" s="1" t="s">
        <v>2086</v>
      </c>
      <c r="BZ168" t="s">
        <v>2367</v>
      </c>
      <c r="CA168" t="s">
        <v>2286</v>
      </c>
    </row>
    <row r="169" spans="18:79" ht="16.350000000000001" customHeight="1">
      <c r="R169" s="820">
        <f>Ram_1!AR165</f>
        <v>0</v>
      </c>
      <c r="V169" s="825" t="str">
        <f>'Translate&amp;Prices&amp;Logo'!$O$173</f>
        <v>Rodzaj szkła</v>
      </c>
      <c r="W169" s="825"/>
      <c r="X169" s="825"/>
      <c r="Y169" s="825"/>
      <c r="Z169" s="825"/>
      <c r="AA169" s="207"/>
      <c r="AB169" s="824" t="str">
        <f>IFERROR(VLOOKUP(kombinace_5!$V$1,BW156:BX158,2,0),0)</f>
        <v>Bez modyfikacji</v>
      </c>
      <c r="AC169" s="824"/>
      <c r="AD169" s="824"/>
      <c r="AE169" s="824"/>
      <c r="AF169" s="824"/>
      <c r="AG169" s="824"/>
      <c r="AH169" s="824"/>
      <c r="AI169" s="824"/>
      <c r="AJ169" s="824"/>
      <c r="AK169" s="824"/>
      <c r="AL169" s="824"/>
      <c r="AM169" s="824"/>
      <c r="AN169" s="824"/>
      <c r="AQ169" s="847"/>
      <c r="BC169" s="1" t="s">
        <v>2420</v>
      </c>
      <c r="BD169" s="1" t="s">
        <v>453</v>
      </c>
      <c r="BL169" s="1" t="s">
        <v>489</v>
      </c>
      <c r="BM169" s="1" t="s">
        <v>489</v>
      </c>
      <c r="BR169" s="1" t="s">
        <v>2089</v>
      </c>
      <c r="BS169" s="1" t="s">
        <v>2271</v>
      </c>
      <c r="BZ169" t="s">
        <v>2368</v>
      </c>
      <c r="CA169" t="s">
        <v>2287</v>
      </c>
    </row>
    <row r="170" spans="18:79" ht="16.350000000000001" customHeight="1">
      <c r="R170" s="820">
        <f>Ram_1!AR166</f>
        <v>0</v>
      </c>
      <c r="V170" s="825" t="str">
        <f>'Translate&amp;Prices&amp;Logo'!$O$562</f>
        <v>Rodzaj folii</v>
      </c>
      <c r="W170" s="825"/>
      <c r="X170" s="825"/>
      <c r="Y170" s="825"/>
      <c r="Z170" s="825"/>
      <c r="AA170" s="207"/>
      <c r="AB170" s="824">
        <f>IFERROR(VLOOKUP(Ram_5!$H$24,BZ156:CA170,2,0),0)</f>
        <v>0</v>
      </c>
      <c r="AC170" s="824"/>
      <c r="AD170" s="824"/>
      <c r="AE170" s="824"/>
      <c r="AF170" s="824"/>
      <c r="AG170" s="824"/>
      <c r="AH170" s="824"/>
      <c r="AI170" s="824"/>
      <c r="AJ170" s="824"/>
      <c r="AK170" s="824"/>
      <c r="AL170" s="824"/>
      <c r="AM170" s="824"/>
      <c r="AN170" s="824"/>
      <c r="AQ170" s="847"/>
      <c r="BC170" s="1" t="s">
        <v>1660</v>
      </c>
      <c r="BD170" s="1" t="s">
        <v>2101</v>
      </c>
      <c r="BL170" s="1" t="s">
        <v>2272</v>
      </c>
      <c r="BM170" s="1" t="s">
        <v>2272</v>
      </c>
      <c r="BR170" s="1" t="s">
        <v>560</v>
      </c>
      <c r="BS170" s="1" t="s">
        <v>483</v>
      </c>
      <c r="BZ170" t="s">
        <v>2369</v>
      </c>
      <c r="CA170" t="s">
        <v>2288</v>
      </c>
    </row>
    <row r="171" spans="18:79" ht="16.350000000000001" customHeight="1" thickBot="1">
      <c r="R171" s="821">
        <f>Ram_1!AR167</f>
        <v>0</v>
      </c>
      <c r="V171" s="825" t="str">
        <f>'Translate&amp;Prices&amp;Logo'!$O$173</f>
        <v>Rodzaj szkła</v>
      </c>
      <c r="W171" s="825"/>
      <c r="X171" s="825"/>
      <c r="Y171" s="825"/>
      <c r="Z171" s="825"/>
      <c r="AA171" s="207"/>
      <c r="AB171" s="824">
        <f>IFERROR(VLOOKUP(Ram_5!$H$25,kombinace_1!DT:DU,2,0),Ram_5!$H$25)</f>
        <v>0</v>
      </c>
      <c r="AC171" s="824"/>
      <c r="AD171" s="824"/>
      <c r="AE171" s="824"/>
      <c r="AF171" s="824"/>
      <c r="AG171" s="824"/>
      <c r="AH171" s="824"/>
      <c r="AI171" s="824"/>
      <c r="AJ171" s="824"/>
      <c r="AK171" s="824"/>
      <c r="AL171" s="824"/>
      <c r="AM171" s="824"/>
      <c r="AN171" s="824"/>
      <c r="AQ171" s="847"/>
      <c r="BL171" s="1" t="s">
        <v>564</v>
      </c>
      <c r="BM171" s="1" t="s">
        <v>486</v>
      </c>
      <c r="BR171" s="1" t="s">
        <v>561</v>
      </c>
      <c r="BS171" s="1" t="s">
        <v>484</v>
      </c>
    </row>
    <row r="172" spans="18:79" ht="16.350000000000001" customHeight="1">
      <c r="V172" s="825" t="str">
        <f>'Translate&amp;Prices&amp;Logo'!$O$549</f>
        <v>Rozstaw uchwytu (mm)</v>
      </c>
      <c r="W172" s="825"/>
      <c r="X172" s="825"/>
      <c r="Y172" s="825"/>
      <c r="Z172" s="825"/>
      <c r="AA172" s="207"/>
      <c r="AB172" s="824">
        <f>Ram_5!$H$26</f>
        <v>0</v>
      </c>
      <c r="AC172" s="824"/>
      <c r="AD172" s="824"/>
      <c r="AE172" s="824"/>
      <c r="AF172" s="824"/>
      <c r="AG172" s="824"/>
      <c r="AH172" s="824"/>
      <c r="AI172" s="824"/>
      <c r="AJ172" s="824"/>
      <c r="AK172" s="824"/>
      <c r="AL172" s="824"/>
      <c r="AM172" s="824"/>
      <c r="AN172" s="824"/>
      <c r="AQ172" s="847"/>
      <c r="BL172" s="1" t="s">
        <v>565</v>
      </c>
      <c r="BM172" s="1" t="s">
        <v>487</v>
      </c>
      <c r="BR172" s="1" t="s">
        <v>2322</v>
      </c>
      <c r="BS172" s="1" t="s">
        <v>2086</v>
      </c>
    </row>
    <row r="173" spans="18:79" ht="16.350000000000001" customHeight="1">
      <c r="V173" s="825" t="str">
        <f>'Translate&amp;Prices&amp;Logo'!$O$550</f>
        <v>Umieszczenie uchwytu</v>
      </c>
      <c r="W173" s="825"/>
      <c r="X173" s="825"/>
      <c r="Y173" s="825"/>
      <c r="Z173" s="825"/>
      <c r="AA173" s="207"/>
      <c r="AB173" s="824">
        <f>IFERROR(VLOOKUP(Ram_5!$H$27,BR156:BS175,2,0),0)</f>
        <v>0</v>
      </c>
      <c r="AC173" s="824"/>
      <c r="AD173" s="824"/>
      <c r="AE173" s="824"/>
      <c r="AF173" s="824"/>
      <c r="AG173" s="824"/>
      <c r="AH173" s="824"/>
      <c r="AI173" s="824"/>
      <c r="AJ173" s="824"/>
      <c r="AK173" s="824"/>
      <c r="AL173" s="824"/>
      <c r="AM173" s="824"/>
      <c r="AN173" s="824"/>
      <c r="AQ173" s="847"/>
      <c r="BL173" s="1" t="s">
        <v>566</v>
      </c>
      <c r="BM173" s="1" t="s">
        <v>488</v>
      </c>
      <c r="BR173" s="1" t="s">
        <v>1734</v>
      </c>
      <c r="BS173" s="1" t="s">
        <v>2271</v>
      </c>
    </row>
    <row r="174" spans="18:79" ht="16.350000000000001" customHeight="1">
      <c r="V174" s="825" t="str">
        <f>('Translate&amp;Prices&amp;Logo'!$O$174)&amp;" "&amp;"-"&amp;" "&amp;('Translate&amp;Prices&amp;Logo'!$O$169)&amp;" "&amp;" "&amp;5</f>
        <v>Ilość sztuk - Ramka  5</v>
      </c>
      <c r="W174" s="825"/>
      <c r="X174" s="825"/>
      <c r="Y174" s="825"/>
      <c r="Z174" s="825"/>
      <c r="AA174" s="207"/>
      <c r="AB174" s="824">
        <f>Ram_5!$H$28</f>
        <v>0</v>
      </c>
      <c r="AC174" s="824"/>
      <c r="AD174" s="824"/>
      <c r="AE174" s="824"/>
      <c r="AF174" s="824"/>
      <c r="AG174" s="824"/>
      <c r="AH174" s="824"/>
      <c r="AI174" s="824"/>
      <c r="AJ174" s="824"/>
      <c r="AK174" s="824"/>
      <c r="AL174" s="824"/>
      <c r="AM174" s="824"/>
      <c r="AN174" s="824"/>
      <c r="AQ174" s="847"/>
      <c r="BL174" s="1" t="s">
        <v>567</v>
      </c>
      <c r="BM174" s="1" t="s">
        <v>489</v>
      </c>
      <c r="BR174" s="1" t="s">
        <v>1693</v>
      </c>
      <c r="BS174" s="1" t="s">
        <v>483</v>
      </c>
    </row>
    <row r="175" spans="18:79" ht="16.350000000000001" customHeight="1">
      <c r="AD175" s="1"/>
      <c r="AE175" s="1"/>
      <c r="AQ175" s="847"/>
      <c r="BL175" s="1" t="s">
        <v>2220</v>
      </c>
      <c r="BM175" s="1" t="s">
        <v>2272</v>
      </c>
      <c r="BR175" s="1" t="s">
        <v>1694</v>
      </c>
      <c r="BS175" s="1" t="s">
        <v>484</v>
      </c>
    </row>
    <row r="176" spans="18:79" ht="14.85" customHeight="1">
      <c r="AQ176" s="847"/>
      <c r="BL176" s="1" t="s">
        <v>2323</v>
      </c>
      <c r="BM176" s="1" t="s">
        <v>486</v>
      </c>
    </row>
    <row r="177" spans="1:79" ht="14.85" customHeight="1">
      <c r="V177" s="836" t="s">
        <v>2572</v>
      </c>
      <c r="W177" s="836"/>
      <c r="X177" s="836"/>
      <c r="Y177" s="836"/>
      <c r="AD177" s="836" t="s">
        <v>2573</v>
      </c>
      <c r="AE177" s="836"/>
      <c r="AF177" s="836"/>
      <c r="AG177" s="836"/>
      <c r="AQ177" s="847"/>
      <c r="BL177" s="1" t="s">
        <v>2324</v>
      </c>
      <c r="BM177" s="1" t="s">
        <v>487</v>
      </c>
    </row>
    <row r="178" spans="1:79" ht="14.85" customHeight="1">
      <c r="AD178" s="827"/>
      <c r="AE178" s="828"/>
      <c r="AF178" s="828"/>
      <c r="AG178" s="828"/>
      <c r="AH178" s="828"/>
      <c r="AI178" s="828"/>
      <c r="AJ178" s="828"/>
      <c r="AK178" s="828"/>
      <c r="AL178" s="828"/>
      <c r="AM178" s="829"/>
      <c r="AQ178" s="847"/>
      <c r="BL178" s="1" t="s">
        <v>2448</v>
      </c>
      <c r="BM178" s="1" t="s">
        <v>488</v>
      </c>
    </row>
    <row r="179" spans="1:79" ht="14.85" customHeight="1">
      <c r="AD179" s="830"/>
      <c r="AE179" s="831"/>
      <c r="AF179" s="831"/>
      <c r="AG179" s="831"/>
      <c r="AH179" s="831"/>
      <c r="AI179" s="831"/>
      <c r="AJ179" s="831"/>
      <c r="AK179" s="831"/>
      <c r="AL179" s="831"/>
      <c r="AM179" s="832"/>
      <c r="AQ179" s="847"/>
      <c r="BL179" s="1" t="s">
        <v>2449</v>
      </c>
      <c r="BM179" s="1" t="s">
        <v>489</v>
      </c>
    </row>
    <row r="180" spans="1:79" ht="14.85" customHeight="1">
      <c r="AD180" s="830"/>
      <c r="AE180" s="831"/>
      <c r="AF180" s="831"/>
      <c r="AG180" s="831"/>
      <c r="AH180" s="831"/>
      <c r="AI180" s="831"/>
      <c r="AJ180" s="831"/>
      <c r="AK180" s="831"/>
      <c r="AL180" s="831"/>
      <c r="AM180" s="832"/>
      <c r="AQ180" s="847"/>
      <c r="BL180" s="1" t="s">
        <v>1898</v>
      </c>
      <c r="BM180" s="1" t="s">
        <v>2272</v>
      </c>
    </row>
    <row r="181" spans="1:79" ht="14.85" customHeight="1">
      <c r="C181" s="844">
        <f>IF(OR(Ram_5!$AC$25="x",Ram_5!$AJ$26="x",Ram_5!$AC$9="x",Ram_5!$AJ$7="x",Ram_5!$AB$16="x",Ram_5!$AM$23="x",Ram_5!$AN$19="x",Ram_5!$AD$10="x"),'Translate&amp;Prices&amp;Logo'!$B$588,0)</f>
        <v>0</v>
      </c>
      <c r="D181" s="844"/>
      <c r="E181" s="844"/>
      <c r="F181" s="844"/>
      <c r="G181" s="844"/>
      <c r="H181" s="844"/>
      <c r="I181" s="844"/>
      <c r="J181" s="844"/>
      <c r="K181" s="844"/>
      <c r="L181" s="844"/>
      <c r="M181" s="844"/>
      <c r="N181" s="844"/>
      <c r="O181" s="844"/>
      <c r="AD181" s="830"/>
      <c r="AE181" s="831"/>
      <c r="AF181" s="831"/>
      <c r="AG181" s="831"/>
      <c r="AH181" s="831"/>
      <c r="AI181" s="831"/>
      <c r="AJ181" s="831"/>
      <c r="AK181" s="831"/>
      <c r="AL181" s="831"/>
      <c r="AM181" s="832"/>
      <c r="AQ181" s="847"/>
    </row>
    <row r="182" spans="1:79" ht="14.85" customHeight="1">
      <c r="AD182" s="830"/>
      <c r="AE182" s="831"/>
      <c r="AF182" s="831"/>
      <c r="AG182" s="831"/>
      <c r="AH182" s="831"/>
      <c r="AI182" s="831"/>
      <c r="AJ182" s="831"/>
      <c r="AK182" s="831"/>
      <c r="AL182" s="831"/>
      <c r="AM182" s="832"/>
      <c r="AQ182" s="847"/>
    </row>
    <row r="183" spans="1:79" ht="14.85" customHeight="1" thickBot="1">
      <c r="AD183" s="830"/>
      <c r="AE183" s="831"/>
      <c r="AF183" s="831"/>
      <c r="AG183" s="831"/>
      <c r="AH183" s="831"/>
      <c r="AI183" s="831"/>
      <c r="AJ183" s="831"/>
      <c r="AK183" s="831"/>
      <c r="AL183" s="831"/>
      <c r="AM183" s="832"/>
      <c r="AQ183" s="847"/>
    </row>
    <row r="184" spans="1:79" ht="14.85" customHeight="1" thickBot="1">
      <c r="F184" s="816" t="str">
        <f>'Translate&amp;Prices&amp;Logo'!$O$175</f>
        <v>Szerokość</v>
      </c>
      <c r="G184" s="817">
        <f>Ram_1!AG174</f>
        <v>0</v>
      </c>
      <c r="H184" s="817">
        <f>Ram_1!AH174</f>
        <v>0</v>
      </c>
      <c r="I184" s="818">
        <f>Ram_5!AI30</f>
        <v>0</v>
      </c>
      <c r="J184" s="818">
        <f>Ram_1!AJ174</f>
        <v>0</v>
      </c>
      <c r="K184" s="819">
        <f>Ram_1!AK174</f>
        <v>0</v>
      </c>
      <c r="AD184" s="830"/>
      <c r="AE184" s="831"/>
      <c r="AF184" s="831"/>
      <c r="AG184" s="831"/>
      <c r="AH184" s="831"/>
      <c r="AI184" s="831"/>
      <c r="AJ184" s="831"/>
      <c r="AK184" s="831"/>
      <c r="AL184" s="831"/>
      <c r="AM184" s="832"/>
      <c r="AQ184" s="847"/>
    </row>
    <row r="185" spans="1:79" ht="21" customHeight="1">
      <c r="AD185" s="833"/>
      <c r="AE185" s="834"/>
      <c r="AF185" s="834"/>
      <c r="AG185" s="834"/>
      <c r="AH185" s="834"/>
      <c r="AI185" s="834"/>
      <c r="AJ185" s="834"/>
      <c r="AK185" s="834"/>
      <c r="AL185" s="834"/>
      <c r="AM185" s="835"/>
      <c r="AQ185" s="847"/>
    </row>
    <row r="186" spans="1:79" ht="14.85" customHeight="1">
      <c r="AQ186" s="847"/>
    </row>
    <row r="187" spans="1:79" ht="14.85" customHeight="1">
      <c r="AQ187" s="847"/>
    </row>
    <row r="188" spans="1:79" ht="14.85" customHeight="1" thickBot="1">
      <c r="A188" s="123"/>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276"/>
      <c r="AE188" s="277"/>
      <c r="AF188" s="123"/>
      <c r="AG188" s="123"/>
      <c r="AH188" s="123"/>
      <c r="AI188" s="123"/>
      <c r="AJ188" s="123"/>
      <c r="AK188" s="123"/>
      <c r="AL188" s="123"/>
      <c r="AM188" s="123"/>
      <c r="AN188" s="123"/>
      <c r="AO188" s="123"/>
      <c r="AP188" s="123"/>
      <c r="AQ188" s="123"/>
    </row>
    <row r="189" spans="1:79" ht="35.1" customHeight="1" thickBot="1">
      <c r="I189" s="273"/>
      <c r="J189" s="273"/>
      <c r="K189" s="273"/>
      <c r="L189" s="273"/>
      <c r="M189" s="273"/>
      <c r="N189" s="273"/>
      <c r="O189" s="273"/>
      <c r="P189" s="273"/>
      <c r="Q189" s="273"/>
      <c r="R189" s="273"/>
      <c r="S189" s="273"/>
      <c r="T189" s="273"/>
      <c r="U189" s="273"/>
      <c r="V189" s="840" t="str">
        <f>'Translate&amp;Prices&amp;Logo'!$O$256</f>
        <v>Numer zamówienia</v>
      </c>
      <c r="W189" s="840"/>
      <c r="X189" s="840"/>
      <c r="Y189" s="840"/>
      <c r="Z189" s="840"/>
      <c r="AA189" s="207"/>
      <c r="AB189" s="837"/>
      <c r="AC189" s="838"/>
      <c r="AD189" s="838"/>
      <c r="AE189" s="838"/>
      <c r="AF189" s="838"/>
      <c r="AG189" s="838"/>
      <c r="AH189" s="838"/>
      <c r="AI189" s="838"/>
      <c r="AJ189" s="838"/>
      <c r="AK189" s="838"/>
      <c r="AL189" s="838"/>
      <c r="AM189" s="838"/>
      <c r="AN189" s="839"/>
      <c r="AQ189" s="847" t="s">
        <v>2579</v>
      </c>
    </row>
    <row r="190" spans="1:79" ht="16.350000000000001" customHeight="1">
      <c r="V190" s="825" t="str">
        <f>'Translate&amp;Prices&amp;Logo'!$O$542</f>
        <v>Połączenie 2 profili</v>
      </c>
      <c r="W190" s="825"/>
      <c r="X190" s="825"/>
      <c r="Y190" s="825"/>
      <c r="Z190" s="825"/>
      <c r="AA190" s="207"/>
      <c r="AB190" s="848" t="str">
        <f>IF(kombinace_6!$H$1=TRUE,"Tak","Nie")</f>
        <v>Nie</v>
      </c>
      <c r="AC190" s="848"/>
      <c r="AD190" s="848"/>
      <c r="AE190" s="848"/>
      <c r="AF190" s="848"/>
      <c r="AG190" s="848"/>
      <c r="AH190" s="848"/>
      <c r="AI190" s="848"/>
      <c r="AJ190" s="848"/>
      <c r="AK190" s="848"/>
      <c r="AL190" s="848"/>
      <c r="AM190" s="848"/>
      <c r="AN190" s="848"/>
      <c r="AQ190" s="847"/>
    </row>
    <row r="191" spans="1:79" ht="16.350000000000001" customHeight="1">
      <c r="V191" s="825" t="str">
        <f>'Translate&amp;Prices&amp;Logo'!$O$172</f>
        <v>Rodzaj profilu</v>
      </c>
      <c r="W191" s="825"/>
      <c r="X191" s="825"/>
      <c r="Y191" s="825"/>
      <c r="Z191" s="825"/>
      <c r="AA191" s="207"/>
      <c r="AB191" s="824">
        <f>IFERROR(VLOOKUP(Ram_6!$H$8,'Translate&amp;Prices&amp;Logo'!AA:AB,2,0),Ram_6!$H$8)</f>
        <v>0</v>
      </c>
      <c r="AC191" s="824"/>
      <c r="AD191" s="824"/>
      <c r="AE191" s="824"/>
      <c r="AF191" s="824"/>
      <c r="AG191" s="824"/>
      <c r="AH191" s="824"/>
      <c r="AI191" s="824"/>
      <c r="AJ191" s="824"/>
      <c r="AK191" s="824"/>
      <c r="AL191" s="824"/>
      <c r="AM191" s="824"/>
      <c r="AN191" s="824"/>
      <c r="AQ191" s="847"/>
    </row>
    <row r="192" spans="1:79" ht="16.350000000000001" customHeight="1">
      <c r="V192" s="825" t="str">
        <f>'Translate&amp;Prices&amp;Logo'!$O$543</f>
        <v>Szprosy</v>
      </c>
      <c r="W192" s="825"/>
      <c r="X192" s="825"/>
      <c r="Y192" s="825"/>
      <c r="Z192" s="825"/>
      <c r="AA192" s="207"/>
      <c r="AB192" s="824" t="str">
        <f>IFERROR(VLOOKUP(Ram_6!$AU$10,AT192:AU195,2,0),0)</f>
        <v>Nie</v>
      </c>
      <c r="AC192" s="824"/>
      <c r="AD192" s="824"/>
      <c r="AE192" s="824"/>
      <c r="AF192" s="824"/>
      <c r="AG192" s="824"/>
      <c r="AH192" s="824"/>
      <c r="AI192" s="824"/>
      <c r="AJ192" s="824"/>
      <c r="AK192" s="824"/>
      <c r="AL192" s="824"/>
      <c r="AM192" s="824"/>
      <c r="AN192" s="824"/>
      <c r="AQ192" s="847"/>
      <c r="AT192">
        <v>0</v>
      </c>
      <c r="AU192" t="str">
        <f>'Translate&amp;Prices&amp;Logo'!$O$557</f>
        <v>Nie</v>
      </c>
      <c r="AY192">
        <v>2</v>
      </c>
      <c r="AZ192" t="str">
        <f>'Translate&amp;Prices&amp;Logo'!$O$551</f>
        <v>Zawiasy</v>
      </c>
      <c r="BC192" s="1" t="s">
        <v>98</v>
      </c>
      <c r="BD192" s="1" t="s">
        <v>452</v>
      </c>
      <c r="BH192" s="1" t="s">
        <v>75</v>
      </c>
      <c r="BI192" s="1" t="s">
        <v>446</v>
      </c>
      <c r="BL192" s="1" t="s">
        <v>215</v>
      </c>
      <c r="BM192" s="1" t="s">
        <v>486</v>
      </c>
      <c r="BR192" s="1" t="s">
        <v>221</v>
      </c>
      <c r="BS192" s="1" t="s">
        <v>2086</v>
      </c>
      <c r="BW192" s="1">
        <v>1</v>
      </c>
      <c r="BX192" s="1" t="str">
        <f>'Translate&amp;Prices&amp;Logo'!$O$100</f>
        <v>Bez modyfikacji</v>
      </c>
      <c r="BZ192" t="s">
        <v>1886</v>
      </c>
      <c r="CA192" t="s">
        <v>2286</v>
      </c>
    </row>
    <row r="193" spans="18:79" ht="16.350000000000001" customHeight="1">
      <c r="V193" s="278"/>
      <c r="W193" s="278"/>
      <c r="X193" s="278"/>
      <c r="Y193" s="278"/>
      <c r="Z193" s="278"/>
      <c r="AA193" s="207"/>
      <c r="AB193" s="849" t="str">
        <f>'Translate&amp;Prices&amp;Logo'!$O$558</f>
        <v>Poziomo (termin dostawy 4 tygodnie)</v>
      </c>
      <c r="AC193" s="849"/>
      <c r="AD193" s="849"/>
      <c r="AE193" s="849"/>
      <c r="AF193" s="849"/>
      <c r="AG193" s="849"/>
      <c r="AH193" s="849"/>
      <c r="AI193" s="849" t="str">
        <f>'Translate&amp;Prices&amp;Logo'!$O$559</f>
        <v>Pionowo (termin dostawy 4 tygodnie)</v>
      </c>
      <c r="AJ193" s="849"/>
      <c r="AK193" s="849"/>
      <c r="AL193" s="849"/>
      <c r="AM193" s="849"/>
      <c r="AN193" s="849"/>
      <c r="AQ193" s="847"/>
      <c r="AT193">
        <v>1</v>
      </c>
      <c r="AU193" t="str">
        <f>'Translate&amp;Prices&amp;Logo'!$O$558</f>
        <v>Poziomo (termin dostawy 4 tygodnie)</v>
      </c>
      <c r="AY193">
        <v>3</v>
      </c>
      <c r="AZ193" t="str">
        <f>'Translate&amp;Prices&amp;Logo'!$O$552</f>
        <v>Podnośniki</v>
      </c>
      <c r="BC193" s="1" t="s">
        <v>99</v>
      </c>
      <c r="BD193" s="1" t="s">
        <v>453</v>
      </c>
      <c r="BH193" s="1" t="s">
        <v>74</v>
      </c>
      <c r="BI193" s="1" t="s">
        <v>447</v>
      </c>
      <c r="BL193" s="1" t="s">
        <v>216</v>
      </c>
      <c r="BM193" s="1" t="s">
        <v>487</v>
      </c>
      <c r="BR193" s="1" t="s">
        <v>222</v>
      </c>
      <c r="BS193" s="1" t="s">
        <v>2271</v>
      </c>
      <c r="BW193" s="1">
        <v>2</v>
      </c>
      <c r="BX193" s="1" t="str">
        <f>'Translate&amp;Prices&amp;Logo'!$O$101</f>
        <v>Hartowane</v>
      </c>
      <c r="BZ193" t="s">
        <v>1889</v>
      </c>
      <c r="CA193" t="s">
        <v>2287</v>
      </c>
    </row>
    <row r="194" spans="18:79" ht="16.350000000000001" customHeight="1">
      <c r="V194" s="825" t="str">
        <f>('Translate&amp;Prices&amp;Logo'!$O$543)&amp;" "&amp;"("&amp;'Translate&amp;Prices&amp;Logo'!$O$174&amp;")"</f>
        <v>Szprosy (Ilość sztuk)</v>
      </c>
      <c r="W194" s="825"/>
      <c r="X194" s="825"/>
      <c r="Y194" s="825"/>
      <c r="Z194" s="825"/>
      <c r="AA194" s="207"/>
      <c r="AB194" s="824">
        <f>Ram_6!$H$11</f>
        <v>0</v>
      </c>
      <c r="AC194" s="824"/>
      <c r="AD194" s="824"/>
      <c r="AE194" s="824"/>
      <c r="AF194" s="824"/>
      <c r="AG194" s="824"/>
      <c r="AH194" s="824"/>
      <c r="AI194" s="824">
        <f>Ram_6!$M$11</f>
        <v>0</v>
      </c>
      <c r="AJ194" s="824"/>
      <c r="AK194" s="824"/>
      <c r="AL194" s="824"/>
      <c r="AM194" s="824"/>
      <c r="AN194" s="824"/>
      <c r="AQ194" s="847"/>
      <c r="AT194">
        <v>2</v>
      </c>
      <c r="AU194" t="str">
        <f>'Translate&amp;Prices&amp;Logo'!$O$559</f>
        <v>Pionowo (termin dostawy 4 tygodnie)</v>
      </c>
      <c r="BC194" s="1" t="s">
        <v>100</v>
      </c>
      <c r="BD194" s="1" t="s">
        <v>2101</v>
      </c>
      <c r="BH194" s="1" t="s">
        <v>387</v>
      </c>
      <c r="BI194" s="1" t="s">
        <v>446</v>
      </c>
      <c r="BL194" s="1" t="s">
        <v>218</v>
      </c>
      <c r="BM194" s="1" t="s">
        <v>488</v>
      </c>
      <c r="BR194" s="1" t="s">
        <v>212</v>
      </c>
      <c r="BS194" s="1" t="s">
        <v>483</v>
      </c>
      <c r="BW194" s="1">
        <v>3</v>
      </c>
      <c r="BX194" s="1" t="str">
        <f>'Translate&amp;Prices&amp;Logo'!$O$102</f>
        <v>Folia</v>
      </c>
      <c r="BZ194" t="s">
        <v>1892</v>
      </c>
      <c r="CA194" t="s">
        <v>2288</v>
      </c>
    </row>
    <row r="195" spans="18:79" ht="16.350000000000001" customHeight="1">
      <c r="V195" s="825" t="str">
        <f>'Translate&amp;Prices&amp;Logo'!$O$258</f>
        <v>Typ okucia</v>
      </c>
      <c r="W195" s="825"/>
      <c r="X195" s="825"/>
      <c r="Y195" s="825"/>
      <c r="Z195" s="825"/>
      <c r="AA195" s="207"/>
      <c r="AB195" s="824">
        <f>IFERROR(VLOOKUP(Ram_6!$AU$9,AY192:AZ193,2,0),0)</f>
        <v>0</v>
      </c>
      <c r="AC195" s="824"/>
      <c r="AD195" s="824"/>
      <c r="AE195" s="824"/>
      <c r="AF195" s="824"/>
      <c r="AG195" s="824"/>
      <c r="AH195" s="824"/>
      <c r="AI195" s="824"/>
      <c r="AJ195" s="824"/>
      <c r="AK195" s="824"/>
      <c r="AL195" s="824"/>
      <c r="AM195" s="824"/>
      <c r="AN195" s="824"/>
      <c r="AQ195" s="847"/>
      <c r="AT195">
        <v>3</v>
      </c>
      <c r="AU195" t="str">
        <f>'Translate&amp;Prices&amp;Logo'!$O$560</f>
        <v>Poziomo i pionowo (termin dostawy 4 tygodnie)</v>
      </c>
      <c r="BC195" s="1" t="s">
        <v>98</v>
      </c>
      <c r="BD195" s="1" t="s">
        <v>452</v>
      </c>
      <c r="BH195" s="1" t="s">
        <v>388</v>
      </c>
      <c r="BI195" s="1" t="s">
        <v>447</v>
      </c>
      <c r="BL195" s="1" t="s">
        <v>217</v>
      </c>
      <c r="BM195" s="1" t="s">
        <v>489</v>
      </c>
      <c r="BR195" s="1" t="s">
        <v>211</v>
      </c>
      <c r="BS195" s="1" t="s">
        <v>484</v>
      </c>
      <c r="BZ195" t="s">
        <v>2175</v>
      </c>
      <c r="CA195" t="s">
        <v>2286</v>
      </c>
    </row>
    <row r="196" spans="18:79" ht="16.350000000000001" customHeight="1">
      <c r="V196" s="825" t="str">
        <f>'Translate&amp;Prices&amp;Logo'!$O$544</f>
        <v>Marka okucia</v>
      </c>
      <c r="W196" s="825"/>
      <c r="X196" s="825"/>
      <c r="Y196" s="825"/>
      <c r="Z196" s="825"/>
      <c r="AA196" s="207"/>
      <c r="AB196" s="824">
        <f>Ram_6!$H$13</f>
        <v>0</v>
      </c>
      <c r="AC196" s="824"/>
      <c r="AD196" s="824"/>
      <c r="AE196" s="824"/>
      <c r="AF196" s="824"/>
      <c r="AG196" s="824"/>
      <c r="AH196" s="824"/>
      <c r="AI196" s="824"/>
      <c r="AJ196" s="824"/>
      <c r="AK196" s="824"/>
      <c r="AL196" s="824"/>
      <c r="AM196" s="824"/>
      <c r="AN196" s="824"/>
      <c r="AQ196" s="847"/>
      <c r="BC196" s="1" t="s">
        <v>99</v>
      </c>
      <c r="BD196" s="1" t="s">
        <v>453</v>
      </c>
      <c r="BH196" s="1" t="s">
        <v>705</v>
      </c>
      <c r="BI196" s="1" t="s">
        <v>446</v>
      </c>
      <c r="BL196" s="1" t="s">
        <v>219</v>
      </c>
      <c r="BM196" s="1" t="s">
        <v>2272</v>
      </c>
      <c r="BR196" s="1" t="s">
        <v>2088</v>
      </c>
      <c r="BS196" s="1" t="s">
        <v>2086</v>
      </c>
      <c r="BZ196" t="s">
        <v>2176</v>
      </c>
      <c r="CA196" t="s">
        <v>2287</v>
      </c>
    </row>
    <row r="197" spans="18:79" ht="16.350000000000001" customHeight="1" thickBot="1">
      <c r="V197" s="825" t="str">
        <f>'Translate&amp;Prices&amp;Logo'!$O$546</f>
        <v>Nałożenie</v>
      </c>
      <c r="W197" s="825"/>
      <c r="X197" s="825"/>
      <c r="Y197" s="825"/>
      <c r="Z197" s="825"/>
      <c r="AA197" s="207"/>
      <c r="AB197" s="824">
        <f>IFERROR(VLOOKUP(Ram_6!$H$14,BC192:BD206,2,0),0)</f>
        <v>0</v>
      </c>
      <c r="AC197" s="824"/>
      <c r="AD197" s="824"/>
      <c r="AE197" s="824"/>
      <c r="AF197" s="824"/>
      <c r="AG197" s="824"/>
      <c r="AH197" s="824"/>
      <c r="AI197" s="824"/>
      <c r="AJ197" s="824"/>
      <c r="AK197" s="824"/>
      <c r="AL197" s="824"/>
      <c r="AM197" s="824"/>
      <c r="AN197" s="824"/>
      <c r="AQ197" s="847"/>
      <c r="BC197" s="1" t="s">
        <v>100</v>
      </c>
      <c r="BD197" s="1" t="s">
        <v>2101</v>
      </c>
      <c r="BH197" s="1" t="s">
        <v>523</v>
      </c>
      <c r="BI197" s="1" t="s">
        <v>447</v>
      </c>
      <c r="BL197" s="1" t="s">
        <v>421</v>
      </c>
      <c r="BM197" s="1" t="s">
        <v>486</v>
      </c>
      <c r="BR197" s="1" t="s">
        <v>222</v>
      </c>
      <c r="BS197" s="1" t="s">
        <v>2271</v>
      </c>
      <c r="BZ197" t="s">
        <v>2177</v>
      </c>
      <c r="CA197" t="s">
        <v>2288</v>
      </c>
    </row>
    <row r="198" spans="18:79" ht="16.350000000000001" customHeight="1">
      <c r="R198" s="822">
        <f>Ram_6!AR14</f>
        <v>0</v>
      </c>
      <c r="V198" s="825" t="str">
        <f>'Translate&amp;Prices&amp;Logo'!$O$545</f>
        <v>Wariant okucia</v>
      </c>
      <c r="W198" s="825"/>
      <c r="X198" s="825"/>
      <c r="Y198" s="825"/>
      <c r="Z198" s="825"/>
      <c r="AA198" s="207"/>
      <c r="AB198" s="824">
        <f>IFERROR(VLOOKUP(Ram_6!$H$15,kombinace_1!$ED:$EE,2,0),Ram_6!$H$15)</f>
        <v>0</v>
      </c>
      <c r="AC198" s="824"/>
      <c r="AD198" s="824"/>
      <c r="AE198" s="824"/>
      <c r="AF198" s="824"/>
      <c r="AG198" s="824"/>
      <c r="AH198" s="824" t="str">
        <f>IF(AB198='Translate&amp;Prices&amp;Logo'!C698,VLOOKUP(Ram_6!H17,'Translate&amp;Prices&amp;Logo'!C699:D718,2,0),"")</f>
        <v/>
      </c>
      <c r="AI198" s="824"/>
      <c r="AJ198" s="824"/>
      <c r="AK198" s="824"/>
      <c r="AL198" s="824"/>
      <c r="AM198" s="824"/>
      <c r="AN198" s="824"/>
      <c r="AQ198" s="847"/>
      <c r="BC198" s="1" t="s">
        <v>452</v>
      </c>
      <c r="BD198" s="1" t="s">
        <v>452</v>
      </c>
      <c r="BH198" s="1" t="s">
        <v>2315</v>
      </c>
      <c r="BI198" s="1" t="s">
        <v>446</v>
      </c>
      <c r="BL198" s="1" t="s">
        <v>422</v>
      </c>
      <c r="BM198" s="1" t="s">
        <v>487</v>
      </c>
      <c r="BR198" s="1" t="s">
        <v>417</v>
      </c>
      <c r="BS198" s="1" t="s">
        <v>483</v>
      </c>
      <c r="BZ198" t="s">
        <v>2286</v>
      </c>
      <c r="CA198" t="s">
        <v>2286</v>
      </c>
    </row>
    <row r="199" spans="18:79" ht="16.350000000000001" customHeight="1">
      <c r="R199" s="823">
        <f>Ram_1!AR195</f>
        <v>0</v>
      </c>
      <c r="V199" s="825" t="str">
        <f>'Translate&amp;Prices&amp;Logo'!$O$218</f>
        <v>Wybierz pozycję ramki</v>
      </c>
      <c r="W199" s="825"/>
      <c r="X199" s="825"/>
      <c r="Y199" s="825"/>
      <c r="Z199" s="825"/>
      <c r="AA199" s="824">
        <f>IFERROR(VLOOKUP(Ram_6!$F$16,BH192:BI201,2,0),0)</f>
        <v>0</v>
      </c>
      <c r="AB199" s="824"/>
      <c r="AC199" s="824"/>
      <c r="AD199" s="824"/>
      <c r="AE199" s="824"/>
      <c r="AF199" s="825" t="str">
        <f>'Translate&amp;Prices&amp;Logo'!$O$232</f>
        <v>Rodzaj drugiej ramki</v>
      </c>
      <c r="AG199" s="825"/>
      <c r="AH199" s="825"/>
      <c r="AI199" s="825"/>
      <c r="AJ199" s="825"/>
      <c r="AK199" s="824">
        <f>IFERROR(VLOOKUP(Ram_6!$N$16,BL192:BM216,2,0),0)</f>
        <v>0</v>
      </c>
      <c r="AL199" s="824"/>
      <c r="AM199" s="824"/>
      <c r="AN199" s="824"/>
      <c r="AQ199" s="847"/>
      <c r="BC199" s="1" t="s">
        <v>453</v>
      </c>
      <c r="BD199" s="1" t="s">
        <v>453</v>
      </c>
      <c r="BH199" s="1" t="s">
        <v>2316</v>
      </c>
      <c r="BI199" s="1" t="s">
        <v>447</v>
      </c>
      <c r="BL199" s="1" t="s">
        <v>423</v>
      </c>
      <c r="BM199" s="1" t="s">
        <v>488</v>
      </c>
      <c r="BR199" s="1" t="s">
        <v>418</v>
      </c>
      <c r="BS199" s="1" t="s">
        <v>484</v>
      </c>
      <c r="BZ199" t="s">
        <v>2287</v>
      </c>
      <c r="CA199" t="s">
        <v>2287</v>
      </c>
    </row>
    <row r="200" spans="18:79" ht="16.350000000000001" customHeight="1">
      <c r="R200" s="823">
        <f>Ram_1!AR196</f>
        <v>0</v>
      </c>
      <c r="V200" s="825" t="str">
        <f>IF(AB195='Translate&amp;Prices&amp;Logo'!O551,'Translate&amp;Prices&amp;Logo'!O238,'Translate&amp;Prices&amp;Logo'!$O$226)</f>
        <v>Umieszczenie</v>
      </c>
      <c r="W200" s="825"/>
      <c r="X200" s="825"/>
      <c r="Y200" s="825"/>
      <c r="Z200" s="825"/>
      <c r="AA200" s="207"/>
      <c r="AB200" s="824" t="str">
        <f>IFERROR((IF(Ram_6!H12='Translate&amp;Prices&amp;Logo'!B552,VLOOKUP(Ram_6!$N$16,BR48:BS67,2,0),VLOOKUP(Ram_6!$H$17,BR48:BS67,2,0))),"")</f>
        <v/>
      </c>
      <c r="AC200" s="824"/>
      <c r="AD200" s="824"/>
      <c r="AE200" s="824"/>
      <c r="AF200" s="824"/>
      <c r="AG200" s="824"/>
      <c r="AH200" s="824"/>
      <c r="AI200" s="824"/>
      <c r="AJ200" s="824"/>
      <c r="AK200" s="824"/>
      <c r="AL200" s="824"/>
      <c r="AM200" s="824"/>
      <c r="AN200" s="824"/>
      <c r="AQ200" s="847"/>
      <c r="BC200" s="1" t="s">
        <v>2101</v>
      </c>
      <c r="BD200" s="1" t="s">
        <v>2101</v>
      </c>
      <c r="BH200" s="1" t="s">
        <v>446</v>
      </c>
      <c r="BI200" s="1" t="s">
        <v>446</v>
      </c>
      <c r="BL200" s="1" t="s">
        <v>424</v>
      </c>
      <c r="BM200" s="1" t="s">
        <v>489</v>
      </c>
      <c r="BR200" s="1" t="s">
        <v>2086</v>
      </c>
      <c r="BS200" s="1" t="s">
        <v>2086</v>
      </c>
      <c r="BZ200" t="s">
        <v>2288</v>
      </c>
      <c r="CA200" t="s">
        <v>2288</v>
      </c>
    </row>
    <row r="201" spans="18:79" ht="16.350000000000001" customHeight="1">
      <c r="R201" s="823">
        <f>Ram_1!AR197</f>
        <v>0</v>
      </c>
      <c r="V201" s="825" t="str">
        <f>'Translate&amp;Prices&amp;Logo'!$O$547</f>
        <v>Zawiasy do podnośników</v>
      </c>
      <c r="W201" s="825"/>
      <c r="X201" s="825"/>
      <c r="Y201" s="825"/>
      <c r="Z201" s="825"/>
      <c r="AA201" s="207"/>
      <c r="AB201" s="824" t="str">
        <f>IFERROR((VLOOKUP(Ram_6!$H$18,CJ:CK,2,0)),"")</f>
        <v/>
      </c>
      <c r="AC201" s="824"/>
      <c r="AD201" s="824"/>
      <c r="AE201" s="824"/>
      <c r="AF201" s="824"/>
      <c r="AG201" s="824"/>
      <c r="AH201" s="824"/>
      <c r="AI201" s="824"/>
      <c r="AJ201" s="824"/>
      <c r="AK201" s="824"/>
      <c r="AL201" s="824"/>
      <c r="AM201" s="824"/>
      <c r="AN201" s="824"/>
      <c r="AQ201" s="847"/>
      <c r="BC201" s="1" t="s">
        <v>528</v>
      </c>
      <c r="BD201" s="1" t="s">
        <v>452</v>
      </c>
      <c r="BH201" s="1" t="s">
        <v>447</v>
      </c>
      <c r="BI201" s="1" t="s">
        <v>447</v>
      </c>
      <c r="BL201" s="1" t="s">
        <v>425</v>
      </c>
      <c r="BM201" s="1" t="s">
        <v>2272</v>
      </c>
      <c r="BR201" s="1" t="s">
        <v>2271</v>
      </c>
      <c r="BS201" s="1" t="s">
        <v>2271</v>
      </c>
      <c r="BZ201" t="s">
        <v>2178</v>
      </c>
      <c r="CA201" t="s">
        <v>2286</v>
      </c>
    </row>
    <row r="202" spans="18:79" ht="16.350000000000001" customHeight="1">
      <c r="R202" s="823">
        <f>Ram_1!AR198</f>
        <v>0</v>
      </c>
      <c r="V202" s="825" t="str">
        <f>'Translate&amp;Prices&amp;Logo'!$O$223</f>
        <v>Ilość zawiasów na 1 ramkę</v>
      </c>
      <c r="W202" s="825"/>
      <c r="X202" s="825"/>
      <c r="Y202" s="825"/>
      <c r="Z202" s="825"/>
      <c r="AA202" s="207"/>
      <c r="AB202" s="824">
        <f>Ram_6!$H$19</f>
        <v>0</v>
      </c>
      <c r="AC202" s="824"/>
      <c r="AD202" s="824"/>
      <c r="AE202" s="824"/>
      <c r="AF202" s="824"/>
      <c r="AG202" s="824"/>
      <c r="AH202" s="824"/>
      <c r="AI202" s="824"/>
      <c r="AJ202" s="824"/>
      <c r="AK202" s="824"/>
      <c r="AL202" s="824"/>
      <c r="AM202" s="824"/>
      <c r="AN202" s="824"/>
      <c r="AQ202" s="847"/>
      <c r="BC202" s="1" t="s">
        <v>529</v>
      </c>
      <c r="BD202" s="1" t="s">
        <v>453</v>
      </c>
      <c r="BL202" s="1" t="s">
        <v>486</v>
      </c>
      <c r="BM202" s="1" t="s">
        <v>486</v>
      </c>
      <c r="BR202" s="1" t="s">
        <v>483</v>
      </c>
      <c r="BS202" s="1" t="s">
        <v>483</v>
      </c>
      <c r="BZ202" t="s">
        <v>2261</v>
      </c>
      <c r="CA202" t="s">
        <v>2287</v>
      </c>
    </row>
    <row r="203" spans="18:79" ht="16.350000000000001" customHeight="1">
      <c r="R203" s="820" t="str">
        <f>'Translate&amp;Prices&amp;Logo'!$O$176</f>
        <v>Wysokość</v>
      </c>
      <c r="V203" s="825" t="e">
        <f>'Translate&amp;Prices&amp;Logo'!$O$242&amp;" "&amp;VLOOKUP(Ram_6!H17,kombinace_1!$BY$32:$CC$35,5,0)</f>
        <v>#N/A</v>
      </c>
      <c r="W203" s="825"/>
      <c r="X203" s="825"/>
      <c r="Y203" s="825"/>
      <c r="Z203" s="825"/>
      <c r="AA203" s="824">
        <f>Ram_6!$F$20</f>
        <v>100</v>
      </c>
      <c r="AB203" s="824"/>
      <c r="AC203" s="824"/>
      <c r="AD203" s="824"/>
      <c r="AE203" s="824"/>
      <c r="AF203" s="825" t="e">
        <f>'Translate&amp;Prices&amp;Logo'!$O$242&amp;" "&amp;VLOOKUP(Ram_6!H17,kombinace_1!$BY$32:$CD$35,6,0)</f>
        <v>#N/A</v>
      </c>
      <c r="AG203" s="825"/>
      <c r="AH203" s="825"/>
      <c r="AI203" s="825"/>
      <c r="AJ203" s="825"/>
      <c r="AK203" s="824">
        <f>Ram_6!$N$20</f>
        <v>100</v>
      </c>
      <c r="AL203" s="824"/>
      <c r="AM203" s="824"/>
      <c r="AN203" s="824"/>
      <c r="AQ203" s="847"/>
      <c r="BC203" s="1" t="s">
        <v>530</v>
      </c>
      <c r="BD203" s="1" t="s">
        <v>2101</v>
      </c>
      <c r="BL203" s="1" t="s">
        <v>487</v>
      </c>
      <c r="BM203" s="1" t="s">
        <v>487</v>
      </c>
      <c r="BR203" s="1" t="s">
        <v>484</v>
      </c>
      <c r="BS203" s="1" t="s">
        <v>484</v>
      </c>
      <c r="BZ203" t="s">
        <v>2179</v>
      </c>
      <c r="CA203" t="s">
        <v>2288</v>
      </c>
    </row>
    <row r="204" spans="18:79" ht="16.350000000000001" customHeight="1">
      <c r="R204" s="820" t="e">
        <f>Ram_1!#REF!</f>
        <v>#REF!</v>
      </c>
      <c r="V204" s="403" t="str">
        <f>'Translate&amp;Prices&amp;Logo'!$O$653</f>
        <v>Wypełnienie z siatki</v>
      </c>
      <c r="W204" s="278"/>
      <c r="X204" s="278"/>
      <c r="Y204" s="278"/>
      <c r="Z204" s="278"/>
      <c r="AA204" s="207"/>
      <c r="AB204" s="826" t="str">
        <f>IF(kombinace_6!FC2=TRUE,"Tak","Nie")</f>
        <v>Nie</v>
      </c>
      <c r="AC204" s="826"/>
      <c r="AD204" s="826"/>
      <c r="AE204" s="826"/>
      <c r="AF204" s="826"/>
      <c r="AG204" s="826"/>
      <c r="AH204" s="826"/>
      <c r="AI204" s="826"/>
      <c r="AJ204" s="826"/>
      <c r="AK204" s="826"/>
      <c r="AL204" s="826"/>
      <c r="AM204" s="826"/>
      <c r="AN204" s="826"/>
      <c r="AQ204" s="847"/>
      <c r="BC204" s="1" t="s">
        <v>2563</v>
      </c>
      <c r="BD204" s="1" t="s">
        <v>452</v>
      </c>
      <c r="BL204" s="1" t="s">
        <v>488</v>
      </c>
      <c r="BM204" s="1" t="s">
        <v>488</v>
      </c>
      <c r="BR204" s="1" t="s">
        <v>2087</v>
      </c>
      <c r="BS204" s="1" t="s">
        <v>2086</v>
      </c>
      <c r="BZ204" t="s">
        <v>2367</v>
      </c>
      <c r="CA204" t="s">
        <v>2286</v>
      </c>
    </row>
    <row r="205" spans="18:79" ht="16.350000000000001" customHeight="1">
      <c r="R205" s="820" t="e">
        <f>Ram_1!#REF!</f>
        <v>#REF!</v>
      </c>
      <c r="V205" s="825" t="str">
        <f>'Translate&amp;Prices&amp;Logo'!$O$173</f>
        <v>Rodzaj szkła</v>
      </c>
      <c r="W205" s="825"/>
      <c r="X205" s="825"/>
      <c r="Y205" s="825"/>
      <c r="Z205" s="825"/>
      <c r="AA205" s="207"/>
      <c r="AB205" s="824" t="str">
        <f>IFERROR(VLOOKUP(kombinace_6!$V$1,BW192:BX194,2,0),0)</f>
        <v>Bez modyfikacji</v>
      </c>
      <c r="AC205" s="824"/>
      <c r="AD205" s="824"/>
      <c r="AE205" s="824"/>
      <c r="AF205" s="824"/>
      <c r="AG205" s="824"/>
      <c r="AH205" s="824"/>
      <c r="AI205" s="824"/>
      <c r="AJ205" s="824"/>
      <c r="AK205" s="824"/>
      <c r="AL205" s="824"/>
      <c r="AM205" s="824"/>
      <c r="AN205" s="824"/>
      <c r="AQ205" s="847"/>
      <c r="BC205" s="1" t="s">
        <v>2420</v>
      </c>
      <c r="BD205" s="1" t="s">
        <v>453</v>
      </c>
      <c r="BL205" s="1" t="s">
        <v>489</v>
      </c>
      <c r="BM205" s="1" t="s">
        <v>489</v>
      </c>
      <c r="BR205" s="1" t="s">
        <v>2089</v>
      </c>
      <c r="BS205" s="1" t="s">
        <v>2271</v>
      </c>
      <c r="BZ205" t="s">
        <v>2368</v>
      </c>
      <c r="CA205" t="s">
        <v>2287</v>
      </c>
    </row>
    <row r="206" spans="18:79" ht="16.350000000000001" customHeight="1">
      <c r="R206" s="820" t="e">
        <f>Ram_1!#REF!</f>
        <v>#REF!</v>
      </c>
      <c r="V206" s="825" t="str">
        <f>'Translate&amp;Prices&amp;Logo'!$O$562</f>
        <v>Rodzaj folii</v>
      </c>
      <c r="W206" s="825"/>
      <c r="X206" s="825"/>
      <c r="Y206" s="825"/>
      <c r="Z206" s="825"/>
      <c r="AA206" s="207"/>
      <c r="AB206" s="824">
        <f>IFERROR(VLOOKUP(Ram_6!$H$24,BZ192:CA206,2,0),0)</f>
        <v>0</v>
      </c>
      <c r="AC206" s="824"/>
      <c r="AD206" s="824"/>
      <c r="AE206" s="824"/>
      <c r="AF206" s="824"/>
      <c r="AG206" s="824"/>
      <c r="AH206" s="824"/>
      <c r="AI206" s="824"/>
      <c r="AJ206" s="824"/>
      <c r="AK206" s="824"/>
      <c r="AL206" s="824"/>
      <c r="AM206" s="824"/>
      <c r="AN206" s="824"/>
      <c r="AQ206" s="847"/>
      <c r="BC206" s="1" t="s">
        <v>1660</v>
      </c>
      <c r="BD206" s="1" t="s">
        <v>2101</v>
      </c>
      <c r="BL206" s="1" t="s">
        <v>2272</v>
      </c>
      <c r="BM206" s="1" t="s">
        <v>2272</v>
      </c>
      <c r="BR206" s="1" t="s">
        <v>560</v>
      </c>
      <c r="BS206" s="1" t="s">
        <v>483</v>
      </c>
      <c r="BZ206" t="s">
        <v>2369</v>
      </c>
      <c r="CA206" t="s">
        <v>2288</v>
      </c>
    </row>
    <row r="207" spans="18:79" ht="16.350000000000001" customHeight="1" thickBot="1">
      <c r="R207" s="821" t="e">
        <f>Ram_1!#REF!</f>
        <v>#REF!</v>
      </c>
      <c r="V207" s="825" t="str">
        <f>'Translate&amp;Prices&amp;Logo'!$O$173</f>
        <v>Rodzaj szkła</v>
      </c>
      <c r="W207" s="825"/>
      <c r="X207" s="825"/>
      <c r="Y207" s="825"/>
      <c r="Z207" s="825"/>
      <c r="AA207" s="207"/>
      <c r="AB207" s="824">
        <f>IFERROR(VLOOKUP(Ram_6!$H$25,kombinace_1!DT:DU,2,0),Ram_6!$H$25)</f>
        <v>0</v>
      </c>
      <c r="AC207" s="824"/>
      <c r="AD207" s="824"/>
      <c r="AE207" s="824"/>
      <c r="AF207" s="824"/>
      <c r="AG207" s="824"/>
      <c r="AH207" s="824"/>
      <c r="AI207" s="824"/>
      <c r="AJ207" s="824"/>
      <c r="AK207" s="824"/>
      <c r="AL207" s="824"/>
      <c r="AM207" s="824"/>
      <c r="AN207" s="824"/>
      <c r="AQ207" s="847"/>
      <c r="BL207" s="1" t="s">
        <v>564</v>
      </c>
      <c r="BM207" s="1" t="s">
        <v>486</v>
      </c>
      <c r="BR207" s="1" t="s">
        <v>561</v>
      </c>
      <c r="BS207" s="1" t="s">
        <v>484</v>
      </c>
    </row>
    <row r="208" spans="18:79" ht="16.350000000000001" customHeight="1">
      <c r="V208" s="825" t="str">
        <f>'Translate&amp;Prices&amp;Logo'!$O$549</f>
        <v>Rozstaw uchwytu (mm)</v>
      </c>
      <c r="W208" s="825"/>
      <c r="X208" s="825"/>
      <c r="Y208" s="825"/>
      <c r="Z208" s="825"/>
      <c r="AA208" s="207"/>
      <c r="AB208" s="824">
        <f>Ram_6!$H$26</f>
        <v>0</v>
      </c>
      <c r="AC208" s="824"/>
      <c r="AD208" s="824"/>
      <c r="AE208" s="824"/>
      <c r="AF208" s="824"/>
      <c r="AG208" s="824"/>
      <c r="AH208" s="824"/>
      <c r="AI208" s="824"/>
      <c r="AJ208" s="824"/>
      <c r="AK208" s="824"/>
      <c r="AL208" s="824"/>
      <c r="AM208" s="824"/>
      <c r="AN208" s="824"/>
      <c r="AQ208" s="847"/>
      <c r="BL208" s="1" t="s">
        <v>565</v>
      </c>
      <c r="BM208" s="1" t="s">
        <v>487</v>
      </c>
      <c r="BR208" s="1" t="s">
        <v>2322</v>
      </c>
      <c r="BS208" s="1" t="s">
        <v>2086</v>
      </c>
    </row>
    <row r="209" spans="1:71" ht="16.350000000000001" customHeight="1">
      <c r="V209" s="825" t="str">
        <f>'Translate&amp;Prices&amp;Logo'!$O$550</f>
        <v>Umieszczenie uchwytu</v>
      </c>
      <c r="W209" s="825"/>
      <c r="X209" s="825"/>
      <c r="Y209" s="825"/>
      <c r="Z209" s="825"/>
      <c r="AA209" s="207"/>
      <c r="AB209" s="824">
        <f>IFERROR(VLOOKUP(Ram_6!$H$27,BR192:BS211,2,0),0)</f>
        <v>0</v>
      </c>
      <c r="AC209" s="824"/>
      <c r="AD209" s="824"/>
      <c r="AE209" s="824"/>
      <c r="AF209" s="824"/>
      <c r="AG209" s="824"/>
      <c r="AH209" s="824"/>
      <c r="AI209" s="824"/>
      <c r="AJ209" s="824"/>
      <c r="AK209" s="824"/>
      <c r="AL209" s="824"/>
      <c r="AM209" s="824"/>
      <c r="AN209" s="824"/>
      <c r="AQ209" s="847"/>
      <c r="BL209" s="1" t="s">
        <v>566</v>
      </c>
      <c r="BM209" s="1" t="s">
        <v>488</v>
      </c>
      <c r="BR209" s="1" t="s">
        <v>1734</v>
      </c>
      <c r="BS209" s="1" t="s">
        <v>2271</v>
      </c>
    </row>
    <row r="210" spans="1:71" ht="16.350000000000001" customHeight="1">
      <c r="V210" s="825" t="str">
        <f>('Translate&amp;Prices&amp;Logo'!$O$174)&amp;" "&amp;"-"&amp;" "&amp;('Translate&amp;Prices&amp;Logo'!$O$169)&amp;" "&amp;" "&amp;6</f>
        <v>Ilość sztuk - Ramka  6</v>
      </c>
      <c r="W210" s="825"/>
      <c r="X210" s="825"/>
      <c r="Y210" s="825"/>
      <c r="Z210" s="825"/>
      <c r="AA210" s="207"/>
      <c r="AB210" s="824">
        <f>Ram_6!$H$28</f>
        <v>0</v>
      </c>
      <c r="AC210" s="824"/>
      <c r="AD210" s="824"/>
      <c r="AE210" s="824"/>
      <c r="AF210" s="824"/>
      <c r="AG210" s="824"/>
      <c r="AH210" s="824"/>
      <c r="AI210" s="824"/>
      <c r="AJ210" s="824"/>
      <c r="AK210" s="824"/>
      <c r="AL210" s="824"/>
      <c r="AM210" s="824"/>
      <c r="AN210" s="824"/>
      <c r="AQ210" s="847"/>
      <c r="BL210" s="1" t="s">
        <v>567</v>
      </c>
      <c r="BM210" s="1" t="s">
        <v>489</v>
      </c>
      <c r="BR210" s="1" t="s">
        <v>1693</v>
      </c>
      <c r="BS210" s="1" t="s">
        <v>483</v>
      </c>
    </row>
    <row r="211" spans="1:71" ht="16.350000000000001" customHeight="1">
      <c r="AD211" s="1"/>
      <c r="AE211" s="1"/>
      <c r="AQ211" s="847"/>
      <c r="BL211" s="1" t="s">
        <v>2220</v>
      </c>
      <c r="BM211" s="1" t="s">
        <v>2272</v>
      </c>
      <c r="BR211" s="1" t="s">
        <v>1694</v>
      </c>
      <c r="BS211" s="1" t="s">
        <v>484</v>
      </c>
    </row>
    <row r="212" spans="1:71" ht="14.85" customHeight="1">
      <c r="AQ212" s="847"/>
      <c r="BL212" s="1" t="s">
        <v>2323</v>
      </c>
      <c r="BM212" s="1" t="s">
        <v>486</v>
      </c>
    </row>
    <row r="213" spans="1:71" ht="14.85" customHeight="1">
      <c r="V213" s="836" t="s">
        <v>2572</v>
      </c>
      <c r="W213" s="836"/>
      <c r="X213" s="836"/>
      <c r="Y213" s="836"/>
      <c r="AD213" s="836" t="s">
        <v>2573</v>
      </c>
      <c r="AE213" s="836"/>
      <c r="AF213" s="836"/>
      <c r="AG213" s="836"/>
      <c r="AQ213" s="847"/>
      <c r="BL213" s="1" t="s">
        <v>2324</v>
      </c>
      <c r="BM213" s="1" t="s">
        <v>487</v>
      </c>
    </row>
    <row r="214" spans="1:71" ht="14.85" customHeight="1">
      <c r="AD214" s="827"/>
      <c r="AE214" s="828"/>
      <c r="AF214" s="828"/>
      <c r="AG214" s="828"/>
      <c r="AH214" s="828"/>
      <c r="AI214" s="828"/>
      <c r="AJ214" s="828"/>
      <c r="AK214" s="828"/>
      <c r="AL214" s="828"/>
      <c r="AM214" s="829"/>
      <c r="AQ214" s="847"/>
      <c r="BL214" s="1" t="s">
        <v>2448</v>
      </c>
      <c r="BM214" s="1" t="s">
        <v>488</v>
      </c>
    </row>
    <row r="215" spans="1:71" ht="14.85" customHeight="1">
      <c r="AD215" s="830"/>
      <c r="AE215" s="831"/>
      <c r="AF215" s="831"/>
      <c r="AG215" s="831"/>
      <c r="AH215" s="831"/>
      <c r="AI215" s="831"/>
      <c r="AJ215" s="831"/>
      <c r="AK215" s="831"/>
      <c r="AL215" s="831"/>
      <c r="AM215" s="832"/>
      <c r="AQ215" s="847"/>
      <c r="BL215" s="1" t="s">
        <v>2449</v>
      </c>
      <c r="BM215" s="1" t="s">
        <v>489</v>
      </c>
    </row>
    <row r="216" spans="1:71" ht="14.85" customHeight="1">
      <c r="AD216" s="830"/>
      <c r="AE216" s="831"/>
      <c r="AF216" s="831"/>
      <c r="AG216" s="831"/>
      <c r="AH216" s="831"/>
      <c r="AI216" s="831"/>
      <c r="AJ216" s="831"/>
      <c r="AK216" s="831"/>
      <c r="AL216" s="831"/>
      <c r="AM216" s="832"/>
      <c r="AQ216" s="847"/>
      <c r="BL216" s="1" t="s">
        <v>1898</v>
      </c>
      <c r="BM216" s="1" t="s">
        <v>2272</v>
      </c>
    </row>
    <row r="217" spans="1:71" ht="14.85" customHeight="1">
      <c r="C217" s="844">
        <f>IF(OR(Ram_6!$AC$25="x",Ram_6!$AJ$26="x",Ram_6!$AC$9="x",Ram_6!$AJ$7="x",Ram_6!$AB$16="x",Ram_6!$AM$23="x",Ram_6!$AN$19="x",Ram_6!$AD$10="x"),'Translate&amp;Prices&amp;Logo'!$B$588,0)</f>
        <v>0</v>
      </c>
      <c r="D217" s="844"/>
      <c r="E217" s="844"/>
      <c r="F217" s="844"/>
      <c r="G217" s="844"/>
      <c r="H217" s="844"/>
      <c r="I217" s="844"/>
      <c r="J217" s="844"/>
      <c r="K217" s="844"/>
      <c r="L217" s="844"/>
      <c r="M217" s="844"/>
      <c r="N217" s="844"/>
      <c r="O217" s="844"/>
      <c r="AD217" s="830"/>
      <c r="AE217" s="831"/>
      <c r="AF217" s="831"/>
      <c r="AG217" s="831"/>
      <c r="AH217" s="831"/>
      <c r="AI217" s="831"/>
      <c r="AJ217" s="831"/>
      <c r="AK217" s="831"/>
      <c r="AL217" s="831"/>
      <c r="AM217" s="832"/>
      <c r="AQ217" s="847"/>
    </row>
    <row r="218" spans="1:71" ht="14.85" customHeight="1">
      <c r="AD218" s="830"/>
      <c r="AE218" s="831"/>
      <c r="AF218" s="831"/>
      <c r="AG218" s="831"/>
      <c r="AH218" s="831"/>
      <c r="AI218" s="831"/>
      <c r="AJ218" s="831"/>
      <c r="AK218" s="831"/>
      <c r="AL218" s="831"/>
      <c r="AM218" s="832"/>
      <c r="AQ218" s="847"/>
    </row>
    <row r="219" spans="1:71" ht="14.85" customHeight="1" thickBot="1">
      <c r="AD219" s="830"/>
      <c r="AE219" s="831"/>
      <c r="AF219" s="831"/>
      <c r="AG219" s="831"/>
      <c r="AH219" s="831"/>
      <c r="AI219" s="831"/>
      <c r="AJ219" s="831"/>
      <c r="AK219" s="831"/>
      <c r="AL219" s="831"/>
      <c r="AM219" s="832"/>
      <c r="AQ219" s="847"/>
    </row>
    <row r="220" spans="1:71" ht="14.85" customHeight="1" thickBot="1">
      <c r="F220" s="816" t="str">
        <f>'Translate&amp;Prices&amp;Logo'!$O$175</f>
        <v>Szerokość</v>
      </c>
      <c r="G220" s="817" t="e">
        <f>Ram_1!#REF!</f>
        <v>#REF!</v>
      </c>
      <c r="H220" s="817" t="e">
        <f>Ram_1!#REF!</f>
        <v>#REF!</v>
      </c>
      <c r="I220" s="818">
        <f>Ram_6!AI30</f>
        <v>0</v>
      </c>
      <c r="J220" s="818" t="e">
        <f>Ram_1!#REF!</f>
        <v>#REF!</v>
      </c>
      <c r="K220" s="819" t="e">
        <f>Ram_1!#REF!</f>
        <v>#REF!</v>
      </c>
      <c r="AD220" s="830"/>
      <c r="AE220" s="831"/>
      <c r="AF220" s="831"/>
      <c r="AG220" s="831"/>
      <c r="AH220" s="831"/>
      <c r="AI220" s="831"/>
      <c r="AJ220" s="831"/>
      <c r="AK220" s="831"/>
      <c r="AL220" s="831"/>
      <c r="AM220" s="832"/>
      <c r="AQ220" s="847"/>
    </row>
    <row r="221" spans="1:71" ht="21" customHeight="1">
      <c r="AD221" s="833"/>
      <c r="AE221" s="834"/>
      <c r="AF221" s="834"/>
      <c r="AG221" s="834"/>
      <c r="AH221" s="834"/>
      <c r="AI221" s="834"/>
      <c r="AJ221" s="834"/>
      <c r="AK221" s="834"/>
      <c r="AL221" s="834"/>
      <c r="AM221" s="835"/>
      <c r="AQ221" s="847"/>
    </row>
    <row r="222" spans="1:71" ht="14.85" customHeight="1">
      <c r="AQ222" s="847"/>
    </row>
    <row r="223" spans="1:71" ht="14.85" customHeight="1">
      <c r="AQ223" s="847"/>
    </row>
    <row r="224" spans="1:71" ht="14.85" customHeight="1">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276"/>
      <c r="AE224" s="277"/>
      <c r="AF224" s="123"/>
      <c r="AG224" s="123"/>
      <c r="AH224" s="123"/>
      <c r="AI224" s="123"/>
      <c r="AJ224" s="123"/>
      <c r="AK224" s="123"/>
      <c r="AL224" s="123"/>
      <c r="AM224" s="123"/>
      <c r="AN224" s="123"/>
      <c r="AO224" s="123"/>
      <c r="AP224" s="123"/>
      <c r="AQ224" s="123"/>
    </row>
  </sheetData>
  <sheetProtection selectLockedCells="1"/>
  <mergeCells count="352">
    <mergeCell ref="AN1:AQ1"/>
    <mergeCell ref="AM2:AQ3"/>
    <mergeCell ref="W4:AD5"/>
    <mergeCell ref="AE4:AE5"/>
    <mergeCell ref="V9:Z9"/>
    <mergeCell ref="AB9:AN9"/>
    <mergeCell ref="AQ9:AQ43"/>
    <mergeCell ref="V10:Z10"/>
    <mergeCell ref="AB10:AN10"/>
    <mergeCell ref="V11:Z11"/>
    <mergeCell ref="V15:Z15"/>
    <mergeCell ref="AB15:AN15"/>
    <mergeCell ref="V16:Z16"/>
    <mergeCell ref="AB16:AN16"/>
    <mergeCell ref="V17:Z17"/>
    <mergeCell ref="AB17:AN17"/>
    <mergeCell ref="AB11:AN11"/>
    <mergeCell ref="V12:Z12"/>
    <mergeCell ref="AB12:AN12"/>
    <mergeCell ref="AB13:AH13"/>
    <mergeCell ref="AI13:AN13"/>
    <mergeCell ref="V14:Z14"/>
    <mergeCell ref="AB14:AH14"/>
    <mergeCell ref="AI14:AN14"/>
    <mergeCell ref="V26:Z26"/>
    <mergeCell ref="AK19:AN19"/>
    <mergeCell ref="V20:Z20"/>
    <mergeCell ref="AB20:AH20"/>
    <mergeCell ref="AI20:AN20"/>
    <mergeCell ref="V21:Z21"/>
    <mergeCell ref="AB21:AN21"/>
    <mergeCell ref="R18:R22"/>
    <mergeCell ref="V18:Z18"/>
    <mergeCell ref="AB18:AH18"/>
    <mergeCell ref="V19:Z19"/>
    <mergeCell ref="AA19:AE19"/>
    <mergeCell ref="AF19:AJ19"/>
    <mergeCell ref="V22:Z22"/>
    <mergeCell ref="AB22:AN22"/>
    <mergeCell ref="V30:Z30"/>
    <mergeCell ref="AB30:AN30"/>
    <mergeCell ref="V33:Y33"/>
    <mergeCell ref="AD33:AG33"/>
    <mergeCell ref="AD34:AM41"/>
    <mergeCell ref="C37:O37"/>
    <mergeCell ref="F40:H40"/>
    <mergeCell ref="I40:K40"/>
    <mergeCell ref="AB26:AN26"/>
    <mergeCell ref="V27:Z27"/>
    <mergeCell ref="AB27:AN27"/>
    <mergeCell ref="V28:Z28"/>
    <mergeCell ref="AB28:AN28"/>
    <mergeCell ref="V29:Z29"/>
    <mergeCell ref="AB29:AN29"/>
    <mergeCell ref="R23:R27"/>
    <mergeCell ref="V23:Z23"/>
    <mergeCell ref="AA23:AE23"/>
    <mergeCell ref="AF23:AJ23"/>
    <mergeCell ref="AK23:AN23"/>
    <mergeCell ref="V24:Z24"/>
    <mergeCell ref="AB24:AN24"/>
    <mergeCell ref="V25:Z25"/>
    <mergeCell ref="AB25:AN25"/>
    <mergeCell ref="V45:Z45"/>
    <mergeCell ref="AB45:AN45"/>
    <mergeCell ref="AQ45:AQ79"/>
    <mergeCell ref="V46:Z46"/>
    <mergeCell ref="AB46:AN46"/>
    <mergeCell ref="V47:Z47"/>
    <mergeCell ref="AB47:AN47"/>
    <mergeCell ref="V48:Z48"/>
    <mergeCell ref="AB48:AN48"/>
    <mergeCell ref="AB49:AH49"/>
    <mergeCell ref="V66:Z66"/>
    <mergeCell ref="AB66:AN66"/>
    <mergeCell ref="V69:Y69"/>
    <mergeCell ref="AD69:AG69"/>
    <mergeCell ref="AD70:AM77"/>
    <mergeCell ref="R54:R58"/>
    <mergeCell ref="V54:Z54"/>
    <mergeCell ref="AB54:AH54"/>
    <mergeCell ref="AI54:AN54"/>
    <mergeCell ref="V55:Z55"/>
    <mergeCell ref="AA55:AE55"/>
    <mergeCell ref="AI49:AN49"/>
    <mergeCell ref="V50:Z50"/>
    <mergeCell ref="AB50:AH50"/>
    <mergeCell ref="AI50:AN50"/>
    <mergeCell ref="V51:Z51"/>
    <mergeCell ref="AB51:AN51"/>
    <mergeCell ref="AF55:AJ55"/>
    <mergeCell ref="AK55:AN55"/>
    <mergeCell ref="V56:Z56"/>
    <mergeCell ref="V57:Z57"/>
    <mergeCell ref="AB57:AN57"/>
    <mergeCell ref="V58:Z58"/>
    <mergeCell ref="AB58:AN58"/>
    <mergeCell ref="V52:Z52"/>
    <mergeCell ref="AB52:AN52"/>
    <mergeCell ref="V53:Z53"/>
    <mergeCell ref="AB53:AN53"/>
    <mergeCell ref="C73:O73"/>
    <mergeCell ref="F76:H76"/>
    <mergeCell ref="I76:K76"/>
    <mergeCell ref="V63:Z63"/>
    <mergeCell ref="AB63:AN63"/>
    <mergeCell ref="V64:Z64"/>
    <mergeCell ref="AB64:AN64"/>
    <mergeCell ref="V65:Z65"/>
    <mergeCell ref="AB65:AN65"/>
    <mergeCell ref="R59:R63"/>
    <mergeCell ref="V59:Z59"/>
    <mergeCell ref="AB59:AE59"/>
    <mergeCell ref="AF59:AJ59"/>
    <mergeCell ref="AK59:AN59"/>
    <mergeCell ref="AB60:AN60"/>
    <mergeCell ref="V61:Z61"/>
    <mergeCell ref="AB61:AN61"/>
    <mergeCell ref="V62:Z62"/>
    <mergeCell ref="AB62:AN62"/>
    <mergeCell ref="AI85:AN85"/>
    <mergeCell ref="V86:Z86"/>
    <mergeCell ref="AB86:AH86"/>
    <mergeCell ref="AI86:AN86"/>
    <mergeCell ref="V87:Z87"/>
    <mergeCell ref="AB87:AN87"/>
    <mergeCell ref="V81:Z81"/>
    <mergeCell ref="AB81:AN81"/>
    <mergeCell ref="AQ81:AQ115"/>
    <mergeCell ref="V82:Z82"/>
    <mergeCell ref="AB82:AN82"/>
    <mergeCell ref="V83:Z83"/>
    <mergeCell ref="AB83:AN83"/>
    <mergeCell ref="V84:Z84"/>
    <mergeCell ref="AB84:AN84"/>
    <mergeCell ref="AB85:AH85"/>
    <mergeCell ref="AF91:AJ91"/>
    <mergeCell ref="AK91:AN91"/>
    <mergeCell ref="V92:Z92"/>
    <mergeCell ref="AB92:AN92"/>
    <mergeCell ref="V93:Z93"/>
    <mergeCell ref="AB93:AN93"/>
    <mergeCell ref="V88:Z88"/>
    <mergeCell ref="AB88:AN88"/>
    <mergeCell ref="V89:Z89"/>
    <mergeCell ref="AB89:AN89"/>
    <mergeCell ref="V90:Z90"/>
    <mergeCell ref="AB90:AG90"/>
    <mergeCell ref="AH90:AN90"/>
    <mergeCell ref="V91:Z91"/>
    <mergeCell ref="AA91:AE91"/>
    <mergeCell ref="V98:Z98"/>
    <mergeCell ref="AB98:AN98"/>
    <mergeCell ref="V99:Z99"/>
    <mergeCell ref="AB99:AN99"/>
    <mergeCell ref="V100:Z100"/>
    <mergeCell ref="AB100:AN100"/>
    <mergeCell ref="V94:Z94"/>
    <mergeCell ref="AB94:AN94"/>
    <mergeCell ref="R95:R99"/>
    <mergeCell ref="V95:Z95"/>
    <mergeCell ref="AB95:AE95"/>
    <mergeCell ref="AF95:AJ95"/>
    <mergeCell ref="AK95:AN95"/>
    <mergeCell ref="AB96:AN96"/>
    <mergeCell ref="V97:Z97"/>
    <mergeCell ref="AB97:AN97"/>
    <mergeCell ref="R90:R94"/>
    <mergeCell ref="AD106:AM113"/>
    <mergeCell ref="C109:O109"/>
    <mergeCell ref="F112:H112"/>
    <mergeCell ref="I112:K112"/>
    <mergeCell ref="V117:Z117"/>
    <mergeCell ref="AB117:AN117"/>
    <mergeCell ref="V101:Z101"/>
    <mergeCell ref="AB101:AN101"/>
    <mergeCell ref="V102:Z102"/>
    <mergeCell ref="AB102:AN102"/>
    <mergeCell ref="V105:Y105"/>
    <mergeCell ref="AD105:AG105"/>
    <mergeCell ref="AB122:AH122"/>
    <mergeCell ref="AI122:AN122"/>
    <mergeCell ref="V123:Z123"/>
    <mergeCell ref="AB123:AN123"/>
    <mergeCell ref="V124:Z124"/>
    <mergeCell ref="AB124:AN124"/>
    <mergeCell ref="AQ117:AQ151"/>
    <mergeCell ref="V118:Z118"/>
    <mergeCell ref="AB118:AN118"/>
    <mergeCell ref="V119:Z119"/>
    <mergeCell ref="AB119:AN119"/>
    <mergeCell ref="V120:Z120"/>
    <mergeCell ref="AB120:AN120"/>
    <mergeCell ref="AB121:AH121"/>
    <mergeCell ref="AI121:AN121"/>
    <mergeCell ref="V122:Z122"/>
    <mergeCell ref="V128:Z128"/>
    <mergeCell ref="AB128:AN128"/>
    <mergeCell ref="V129:Z129"/>
    <mergeCell ref="AB129:AN129"/>
    <mergeCell ref="V130:Z130"/>
    <mergeCell ref="AB130:AN130"/>
    <mergeCell ref="V125:Z125"/>
    <mergeCell ref="AB125:AN125"/>
    <mergeCell ref="R126:R130"/>
    <mergeCell ref="V126:Z126"/>
    <mergeCell ref="AB126:AG126"/>
    <mergeCell ref="AH126:AN126"/>
    <mergeCell ref="V127:Z127"/>
    <mergeCell ref="AA127:AE127"/>
    <mergeCell ref="AF127:AJ127"/>
    <mergeCell ref="AK127:AN127"/>
    <mergeCell ref="V138:Z138"/>
    <mergeCell ref="AB138:AN138"/>
    <mergeCell ref="V141:Y141"/>
    <mergeCell ref="AD141:AG141"/>
    <mergeCell ref="AD142:AM149"/>
    <mergeCell ref="C145:O145"/>
    <mergeCell ref="F148:H148"/>
    <mergeCell ref="I148:K148"/>
    <mergeCell ref="V135:Z135"/>
    <mergeCell ref="AB135:AN135"/>
    <mergeCell ref="V136:Z136"/>
    <mergeCell ref="AB136:AN136"/>
    <mergeCell ref="V137:Z137"/>
    <mergeCell ref="AB137:AN137"/>
    <mergeCell ref="R131:R135"/>
    <mergeCell ref="V131:Z131"/>
    <mergeCell ref="AA131:AE131"/>
    <mergeCell ref="AF131:AJ131"/>
    <mergeCell ref="AK131:AN131"/>
    <mergeCell ref="AB132:AN132"/>
    <mergeCell ref="V133:Z133"/>
    <mergeCell ref="AB133:AN133"/>
    <mergeCell ref="V134:Z134"/>
    <mergeCell ref="AB134:AN134"/>
    <mergeCell ref="AI157:AN157"/>
    <mergeCell ref="V158:Z158"/>
    <mergeCell ref="AB158:AH158"/>
    <mergeCell ref="AI158:AN158"/>
    <mergeCell ref="V159:Z159"/>
    <mergeCell ref="AB159:AN159"/>
    <mergeCell ref="V153:Z153"/>
    <mergeCell ref="AB153:AN153"/>
    <mergeCell ref="AQ153:AQ187"/>
    <mergeCell ref="V154:Z154"/>
    <mergeCell ref="AB154:AN154"/>
    <mergeCell ref="V155:Z155"/>
    <mergeCell ref="AB155:AN155"/>
    <mergeCell ref="V156:Z156"/>
    <mergeCell ref="AB156:AN156"/>
    <mergeCell ref="AB157:AH157"/>
    <mergeCell ref="AF163:AJ163"/>
    <mergeCell ref="AK163:AN163"/>
    <mergeCell ref="V164:Z164"/>
    <mergeCell ref="AB164:AN164"/>
    <mergeCell ref="V165:Z165"/>
    <mergeCell ref="AB165:AN165"/>
    <mergeCell ref="V160:Z160"/>
    <mergeCell ref="AB160:AN160"/>
    <mergeCell ref="V161:Z161"/>
    <mergeCell ref="AB161:AN161"/>
    <mergeCell ref="V162:Z162"/>
    <mergeCell ref="AB162:AG162"/>
    <mergeCell ref="AH162:AN162"/>
    <mergeCell ref="V163:Z163"/>
    <mergeCell ref="AA163:AE163"/>
    <mergeCell ref="V170:Z170"/>
    <mergeCell ref="AB170:AN170"/>
    <mergeCell ref="V171:Z171"/>
    <mergeCell ref="AB171:AN171"/>
    <mergeCell ref="V172:Z172"/>
    <mergeCell ref="AB172:AN172"/>
    <mergeCell ref="V166:Z166"/>
    <mergeCell ref="AB166:AN166"/>
    <mergeCell ref="R167:R171"/>
    <mergeCell ref="V167:Z167"/>
    <mergeCell ref="AA167:AE167"/>
    <mergeCell ref="AF167:AJ167"/>
    <mergeCell ref="AK167:AN167"/>
    <mergeCell ref="AB168:AN168"/>
    <mergeCell ref="V169:Z169"/>
    <mergeCell ref="AB169:AN169"/>
    <mergeCell ref="R162:R166"/>
    <mergeCell ref="AD178:AM185"/>
    <mergeCell ref="C181:O181"/>
    <mergeCell ref="F184:H184"/>
    <mergeCell ref="I184:K184"/>
    <mergeCell ref="V189:Z189"/>
    <mergeCell ref="AB189:AN189"/>
    <mergeCell ref="V173:Z173"/>
    <mergeCell ref="AB173:AN173"/>
    <mergeCell ref="V174:Z174"/>
    <mergeCell ref="AB174:AN174"/>
    <mergeCell ref="V177:Y177"/>
    <mergeCell ref="AD177:AG177"/>
    <mergeCell ref="AB194:AH194"/>
    <mergeCell ref="AI194:AN194"/>
    <mergeCell ref="V195:Z195"/>
    <mergeCell ref="AB195:AN195"/>
    <mergeCell ref="V196:Z196"/>
    <mergeCell ref="AB196:AN196"/>
    <mergeCell ref="AQ189:AQ223"/>
    <mergeCell ref="V190:Z190"/>
    <mergeCell ref="AB190:AN190"/>
    <mergeCell ref="V191:Z191"/>
    <mergeCell ref="AB191:AN191"/>
    <mergeCell ref="V192:Z192"/>
    <mergeCell ref="AB192:AN192"/>
    <mergeCell ref="AB193:AH193"/>
    <mergeCell ref="AI193:AN193"/>
    <mergeCell ref="V194:Z194"/>
    <mergeCell ref="V200:Z200"/>
    <mergeCell ref="AB200:AN200"/>
    <mergeCell ref="V201:Z201"/>
    <mergeCell ref="AB201:AN201"/>
    <mergeCell ref="V202:Z202"/>
    <mergeCell ref="AB202:AN202"/>
    <mergeCell ref="V197:Z197"/>
    <mergeCell ref="AB197:AN197"/>
    <mergeCell ref="R198:R202"/>
    <mergeCell ref="V198:Z198"/>
    <mergeCell ref="AB198:AG198"/>
    <mergeCell ref="AH198:AN198"/>
    <mergeCell ref="V199:Z199"/>
    <mergeCell ref="AA199:AE199"/>
    <mergeCell ref="AF199:AJ199"/>
    <mergeCell ref="AK199:AN199"/>
    <mergeCell ref="V210:Z210"/>
    <mergeCell ref="AB210:AN210"/>
    <mergeCell ref="V213:Y213"/>
    <mergeCell ref="AD213:AG213"/>
    <mergeCell ref="AD214:AM221"/>
    <mergeCell ref="C217:O217"/>
    <mergeCell ref="F220:H220"/>
    <mergeCell ref="I220:K220"/>
    <mergeCell ref="V207:Z207"/>
    <mergeCell ref="AB207:AN207"/>
    <mergeCell ref="V208:Z208"/>
    <mergeCell ref="AB208:AN208"/>
    <mergeCell ref="V209:Z209"/>
    <mergeCell ref="AB209:AN209"/>
    <mergeCell ref="R203:R207"/>
    <mergeCell ref="V203:Z203"/>
    <mergeCell ref="AA203:AE203"/>
    <mergeCell ref="AF203:AJ203"/>
    <mergeCell ref="AK203:AN203"/>
    <mergeCell ref="AB204:AN204"/>
    <mergeCell ref="V205:Z205"/>
    <mergeCell ref="AB205:AN205"/>
    <mergeCell ref="V206:Z206"/>
    <mergeCell ref="AB206:AN206"/>
  </mergeCells>
  <conditionalFormatting sqref="C37:O37">
    <cfRule type="cellIs" dxfId="66" priority="32" operator="equal">
      <formula>0</formula>
    </cfRule>
  </conditionalFormatting>
  <conditionalFormatting sqref="C73:O73">
    <cfRule type="cellIs" dxfId="65" priority="31" operator="equal">
      <formula>0</formula>
    </cfRule>
  </conditionalFormatting>
  <conditionalFormatting sqref="C109:O109">
    <cfRule type="cellIs" dxfId="64" priority="30" operator="equal">
      <formula>0</formula>
    </cfRule>
  </conditionalFormatting>
  <conditionalFormatting sqref="C145:O145">
    <cfRule type="cellIs" dxfId="63" priority="29" operator="equal">
      <formula>0</formula>
    </cfRule>
  </conditionalFormatting>
  <conditionalFormatting sqref="C181:O181">
    <cfRule type="cellIs" dxfId="62" priority="28" operator="equal">
      <formula>0</formula>
    </cfRule>
  </conditionalFormatting>
  <conditionalFormatting sqref="C217:O217">
    <cfRule type="cellIs" dxfId="61" priority="27" operator="equal">
      <formula>0</formula>
    </cfRule>
  </conditionalFormatting>
  <conditionalFormatting sqref="V9:AA9 V10:AN11 V15:AN17 V18:AB18 V19:AN19 V20:AA20 V21:AN23 V24 AA24:AB24 V25:AN30">
    <cfRule type="cellIs" dxfId="60" priority="26" operator="equal">
      <formula>0</formula>
    </cfRule>
  </conditionalFormatting>
  <conditionalFormatting sqref="V20:AA20">
    <cfRule type="expression" dxfId="59" priority="66">
      <formula>$AB$20=0</formula>
    </cfRule>
  </conditionalFormatting>
  <conditionalFormatting sqref="V45:AA45 V46:AN47 V51:AN53 V54:AB54 V55:AN58 AF59:AN59 V59:AB60 V61:AN66">
    <cfRule type="cellIs" dxfId="58" priority="25" operator="equal">
      <formula>0</formula>
    </cfRule>
  </conditionalFormatting>
  <conditionalFormatting sqref="V81:AA81 V82:AN83 V87:AN89 V90:AB90 AH90 V91:AN94 AF95:AN95 V97:AN102">
    <cfRule type="cellIs" dxfId="57" priority="24" operator="equal">
      <formula>0</formula>
    </cfRule>
  </conditionalFormatting>
  <conditionalFormatting sqref="V117:AA117 V118:AN119 V123:AN125 V126:AB126 AH126 V127:AN131 V132:AB132 V133:AN138">
    <cfRule type="cellIs" dxfId="56" priority="23" operator="equal">
      <formula>0</formula>
    </cfRule>
  </conditionalFormatting>
  <conditionalFormatting sqref="V153:AA153 V154:AN155 V159:AN161 V162:AB162 AH162 V163:AN167 V168:AB168 V169:AN174">
    <cfRule type="cellIs" dxfId="55" priority="22" operator="equal">
      <formula>0</formula>
    </cfRule>
  </conditionalFormatting>
  <conditionalFormatting sqref="V189:AA189 V190:AN191 V195:AN197 V198:AB198 AH198 V199:AN203 V204:AB204 V205:AN210">
    <cfRule type="cellIs" dxfId="54" priority="21" operator="equal">
      <formula>0</formula>
    </cfRule>
  </conditionalFormatting>
  <conditionalFormatting sqref="V95:AB96">
    <cfRule type="cellIs" dxfId="53" priority="2" operator="equal">
      <formula>0</formula>
    </cfRule>
  </conditionalFormatting>
  <conditionalFormatting sqref="V19:AN19">
    <cfRule type="expression" dxfId="52" priority="67">
      <formula>$AA$19=0</formula>
    </cfRule>
  </conditionalFormatting>
  <conditionalFormatting sqref="V21:AN21">
    <cfRule type="expression" dxfId="51" priority="65">
      <formula>$AB$21=""</formula>
    </cfRule>
  </conditionalFormatting>
  <conditionalFormatting sqref="V22:AN23">
    <cfRule type="expression" dxfId="50" priority="64">
      <formula>$AB$22=0</formula>
    </cfRule>
  </conditionalFormatting>
  <conditionalFormatting sqref="V26:AN26">
    <cfRule type="expression" dxfId="49" priority="63">
      <formula>$AB$26=0</formula>
    </cfRule>
  </conditionalFormatting>
  <conditionalFormatting sqref="V55:AN55">
    <cfRule type="expression" dxfId="48" priority="61">
      <formula>$AA$55=0</formula>
    </cfRule>
  </conditionalFormatting>
  <conditionalFormatting sqref="V56:AN56">
    <cfRule type="expression" dxfId="47" priority="60">
      <formula>$AB$56=0</formula>
    </cfRule>
  </conditionalFormatting>
  <conditionalFormatting sqref="V57:AN57">
    <cfRule type="expression" dxfId="46" priority="59">
      <formula>$AB$57=""</formula>
    </cfRule>
  </conditionalFormatting>
  <conditionalFormatting sqref="V58:AN58 V59:AB59 AF59:AN59">
    <cfRule type="expression" dxfId="45" priority="58">
      <formula>$AB$58=0</formula>
    </cfRule>
  </conditionalFormatting>
  <conditionalFormatting sqref="V62:AN62">
    <cfRule type="expression" dxfId="44" priority="57">
      <formula>$AB$62=0</formula>
    </cfRule>
  </conditionalFormatting>
  <conditionalFormatting sqref="V91:AN91">
    <cfRule type="expression" dxfId="43" priority="55">
      <formula>$AA$91=0</formula>
    </cfRule>
  </conditionalFormatting>
  <conditionalFormatting sqref="V92:AN92">
    <cfRule type="expression" dxfId="42" priority="54">
      <formula>$AB$92=0</formula>
    </cfRule>
  </conditionalFormatting>
  <conditionalFormatting sqref="V93:AN93">
    <cfRule type="expression" dxfId="41" priority="53">
      <formula>$AB$93=""</formula>
    </cfRule>
  </conditionalFormatting>
  <conditionalFormatting sqref="V94:AN94 V95:Z95 AB95 AF95:AN95">
    <cfRule type="expression" dxfId="40" priority="52">
      <formula>$AB$94=0</formula>
    </cfRule>
  </conditionalFormatting>
  <conditionalFormatting sqref="V98:AN98">
    <cfRule type="expression" dxfId="39" priority="51">
      <formula>$AB$98=0</formula>
    </cfRule>
  </conditionalFormatting>
  <conditionalFormatting sqref="V127:AN127">
    <cfRule type="expression" dxfId="38" priority="49">
      <formula>$AA$127=0</formula>
    </cfRule>
  </conditionalFormatting>
  <conditionalFormatting sqref="V128:AN128">
    <cfRule type="expression" dxfId="37" priority="48">
      <formula>$AB$128=0</formula>
    </cfRule>
  </conditionalFormatting>
  <conditionalFormatting sqref="V129:AN129">
    <cfRule type="expression" dxfId="36" priority="47">
      <formula>$AB$129=""</formula>
    </cfRule>
  </conditionalFormatting>
  <conditionalFormatting sqref="V130:AN131">
    <cfRule type="expression" dxfId="35" priority="46">
      <formula>$AB$130=0</formula>
    </cfRule>
  </conditionalFormatting>
  <conditionalFormatting sqref="V134:AN134">
    <cfRule type="expression" dxfId="34" priority="45">
      <formula>$AB$134=0</formula>
    </cfRule>
  </conditionalFormatting>
  <conditionalFormatting sqref="V163:AN163">
    <cfRule type="expression" dxfId="33" priority="43">
      <formula>$AA$163=0</formula>
    </cfRule>
  </conditionalFormatting>
  <conditionalFormatting sqref="V164:AN164">
    <cfRule type="expression" dxfId="32" priority="42">
      <formula>$AB$164=0</formula>
    </cfRule>
  </conditionalFormatting>
  <conditionalFormatting sqref="V165:AN165">
    <cfRule type="expression" dxfId="31" priority="41">
      <formula>$AB$165=""</formula>
    </cfRule>
  </conditionalFormatting>
  <conditionalFormatting sqref="V166:AN167">
    <cfRule type="expression" dxfId="30" priority="40">
      <formula>$AB$166=0</formula>
    </cfRule>
  </conditionalFormatting>
  <conditionalFormatting sqref="V170:AN170">
    <cfRule type="expression" dxfId="29" priority="39">
      <formula>$AB$170=0</formula>
    </cfRule>
  </conditionalFormatting>
  <conditionalFormatting sqref="V199:AN199">
    <cfRule type="expression" dxfId="28" priority="37">
      <formula>$AA$199=0</formula>
    </cfRule>
  </conditionalFormatting>
  <conditionalFormatting sqref="V200:AN200">
    <cfRule type="expression" dxfId="27" priority="36">
      <formula>$AB$200=0</formula>
    </cfRule>
  </conditionalFormatting>
  <conditionalFormatting sqref="V201:AN201">
    <cfRule type="expression" dxfId="26" priority="35">
      <formula>$AB$201=""</formula>
    </cfRule>
  </conditionalFormatting>
  <conditionalFormatting sqref="V202:AN203">
    <cfRule type="expression" dxfId="25" priority="34">
      <formula>$AB$202=0</formula>
    </cfRule>
  </conditionalFormatting>
  <conditionalFormatting sqref="V206:AN206">
    <cfRule type="expression" dxfId="24" priority="33">
      <formula>$AB$206=0</formula>
    </cfRule>
  </conditionalFormatting>
  <conditionalFormatting sqref="AA85">
    <cfRule type="cellIs" dxfId="23" priority="1" operator="equal">
      <formula>0</formula>
    </cfRule>
  </conditionalFormatting>
  <conditionalFormatting sqref="AA121">
    <cfRule type="cellIs" dxfId="22" priority="3" operator="equal">
      <formula>0</formula>
    </cfRule>
  </conditionalFormatting>
  <conditionalFormatting sqref="AA157">
    <cfRule type="cellIs" dxfId="21" priority="4" operator="equal">
      <formula>0</formula>
    </cfRule>
  </conditionalFormatting>
  <conditionalFormatting sqref="AB13">
    <cfRule type="expression" dxfId="20" priority="19" stopIfTrue="1">
      <formula>$AB$14=0</formula>
    </cfRule>
  </conditionalFormatting>
  <conditionalFormatting sqref="AB49:AH50">
    <cfRule type="expression" dxfId="19" priority="17" stopIfTrue="1">
      <formula>$AB$50=0</formula>
    </cfRule>
  </conditionalFormatting>
  <conditionalFormatting sqref="AB85:AH86">
    <cfRule type="expression" dxfId="18" priority="15" stopIfTrue="1">
      <formula>$AB$86=0</formula>
    </cfRule>
  </conditionalFormatting>
  <conditionalFormatting sqref="AB121:AH122">
    <cfRule type="expression" dxfId="17" priority="13" stopIfTrue="1">
      <formula>$AB$122=0</formula>
    </cfRule>
  </conditionalFormatting>
  <conditionalFormatting sqref="AB157:AH158">
    <cfRule type="expression" dxfId="16" priority="11" stopIfTrue="1">
      <formula>$AB$158=0</formula>
    </cfRule>
  </conditionalFormatting>
  <conditionalFormatting sqref="AB193:AH194">
    <cfRule type="expression" dxfId="15" priority="9" stopIfTrue="1">
      <formula>$AB$194=0</formula>
    </cfRule>
  </conditionalFormatting>
  <conditionalFormatting sqref="AB17:AN17">
    <cfRule type="expression" dxfId="14" priority="68">
      <formula>$AB$17=0</formula>
    </cfRule>
  </conditionalFormatting>
  <conditionalFormatting sqref="AB53:AN53">
    <cfRule type="expression" dxfId="13" priority="62">
      <formula>$AB$53=0</formula>
    </cfRule>
  </conditionalFormatting>
  <conditionalFormatting sqref="AB89:AN89">
    <cfRule type="expression" dxfId="12" priority="56">
      <formula>$AB$89=0</formula>
    </cfRule>
  </conditionalFormatting>
  <conditionalFormatting sqref="AB125:AN125">
    <cfRule type="expression" dxfId="11" priority="50">
      <formula>$AB$125=0</formula>
    </cfRule>
  </conditionalFormatting>
  <conditionalFormatting sqref="AB161:AN161">
    <cfRule type="expression" dxfId="10" priority="44">
      <formula>$AB$161=0</formula>
    </cfRule>
  </conditionalFormatting>
  <conditionalFormatting sqref="AB197:AN197">
    <cfRule type="expression" dxfId="9" priority="38">
      <formula>$AB$197=0</formula>
    </cfRule>
  </conditionalFormatting>
  <conditionalFormatting sqref="AI13:AN14">
    <cfRule type="expression" dxfId="8" priority="18" stopIfTrue="1">
      <formula>$AI$14=0</formula>
    </cfRule>
  </conditionalFormatting>
  <conditionalFormatting sqref="AI49:AN50">
    <cfRule type="expression" dxfId="7" priority="16" stopIfTrue="1">
      <formula>$AI$50=0</formula>
    </cfRule>
  </conditionalFormatting>
  <conditionalFormatting sqref="AI85:AN86">
    <cfRule type="expression" dxfId="6" priority="14" stopIfTrue="1">
      <formula>$AI$86=0</formula>
    </cfRule>
  </conditionalFormatting>
  <conditionalFormatting sqref="AI121:AN122">
    <cfRule type="expression" dxfId="5" priority="12" stopIfTrue="1">
      <formula>$AI$122=0</formula>
    </cfRule>
  </conditionalFormatting>
  <conditionalFormatting sqref="AI157:AN158">
    <cfRule type="expression" dxfId="4" priority="10" stopIfTrue="1">
      <formula>$AI$158=0</formula>
    </cfRule>
  </conditionalFormatting>
  <conditionalFormatting sqref="AI193:AN194">
    <cfRule type="expression" dxfId="3" priority="8" stopIfTrue="1">
      <formula>$AI$194=0</formula>
    </cfRule>
  </conditionalFormatting>
  <conditionalFormatting sqref="BR32:BS35">
    <cfRule type="expression" dxfId="2" priority="7" stopIfTrue="1">
      <formula>AND(COUNTIF($L$582:$L$587, BR32)+COUNTIF($L$593:$L$624, BR32)+COUNTIF($L$627:$L$627, BR32)+COUNTIF($L$642:$L$644, BR32)&gt;1,NOT(ISBLANK(BR32)))</formula>
    </cfRule>
  </conditionalFormatting>
  <conditionalFormatting sqref="BR68:BS71">
    <cfRule type="expression" dxfId="1" priority="6" stopIfTrue="1">
      <formula>AND(COUNTIF($L$582:$L$587, BR68)+COUNTIF($L$593:$L$624, BR68)+COUNTIF($L$627:$L$627, BR68)+COUNTIF($L$642:$L$644, BR68)&gt;1,NOT(ISBLANK(BR68)))</formula>
    </cfRule>
  </conditionalFormatting>
  <conditionalFormatting sqref="BR104:BS107">
    <cfRule type="expression" dxfId="0" priority="5" stopIfTrue="1">
      <formula>AND(COUNTIF($L$582:$L$587, BR104)+COUNTIF($L$593:$L$624, BR104)+COUNTIF($L$627:$L$627, BR104)+COUNTIF($L$642:$L$644, BR104)&gt;1,NOT(ISBLANK(BR104)))</formula>
    </cfRule>
  </conditionalFormatting>
  <printOptions verticalCentered="1"/>
  <pageMargins left="3.937007874015748E-2" right="3.937007874015748E-2" top="0.55118110236220474" bottom="0.74803149606299213" header="0.31496062992125984" footer="0.31496062992125984"/>
  <pageSetup paperSize="9" scale="55" fitToHeight="3" orientation="landscape" verticalDpi="300" r:id="rId1"/>
  <rowBreaks count="6" manualBreakCount="6">
    <brk id="43" max="42" man="1"/>
    <brk id="79" max="42" man="1"/>
    <brk id="115" max="42" man="1"/>
    <brk id="151" max="16383" man="1"/>
    <brk id="187" max="16383" man="1"/>
    <brk id="223" max="16383" man="1"/>
  </row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AAD84-9BE7-49C9-B3C3-BDF3341FF87B}">
  <sheetPr codeName="List6"/>
  <dimension ref="A1:AJ60"/>
  <sheetViews>
    <sheetView workbookViewId="0"/>
  </sheetViews>
  <sheetFormatPr defaultRowHeight="15"/>
  <cols>
    <col min="1" max="1" width="32.42578125" customWidth="1"/>
    <col min="3" max="3" width="7" bestFit="1" customWidth="1"/>
    <col min="4" max="4" width="70.42578125" style="11" bestFit="1" customWidth="1"/>
    <col min="5" max="5" width="70.42578125" style="11" customWidth="1"/>
    <col min="6" max="6" width="10.42578125" bestFit="1" customWidth="1"/>
    <col min="7" max="7" width="5" bestFit="1" customWidth="1"/>
    <col min="8" max="8" width="8" bestFit="1" customWidth="1"/>
    <col min="9" max="9" width="8.5703125" bestFit="1" customWidth="1"/>
    <col min="11" max="11" width="10.42578125" bestFit="1" customWidth="1"/>
    <col min="12" max="12" width="46" bestFit="1" customWidth="1"/>
    <col min="13" max="13" width="5.5703125" bestFit="1" customWidth="1"/>
    <col min="14" max="14" width="10.42578125" bestFit="1" customWidth="1"/>
    <col min="15" max="15" width="31" bestFit="1" customWidth="1"/>
    <col min="16" max="16" width="5.5703125" bestFit="1" customWidth="1"/>
    <col min="17" max="17" width="10.42578125" bestFit="1" customWidth="1"/>
    <col min="18" max="18" width="40.42578125" bestFit="1" customWidth="1"/>
    <col min="19" max="19" width="18.42578125" bestFit="1" customWidth="1"/>
    <col min="20" max="20" width="10.42578125" bestFit="1" customWidth="1"/>
    <col min="21" max="21" width="46" bestFit="1" customWidth="1"/>
    <col min="22" max="22" width="18.42578125" bestFit="1" customWidth="1"/>
    <col min="23" max="23" width="10.42578125" bestFit="1" customWidth="1"/>
    <col min="24" max="24" width="20.5703125" bestFit="1" customWidth="1"/>
    <col min="25" max="25" width="18.42578125" bestFit="1" customWidth="1"/>
    <col min="26" max="26" width="10.42578125" bestFit="1" customWidth="1"/>
    <col min="27" max="27" width="26.5703125" bestFit="1" customWidth="1"/>
    <col min="28" max="28" width="18.42578125" bestFit="1" customWidth="1"/>
    <col min="29" max="29" width="3" bestFit="1" customWidth="1"/>
  </cols>
  <sheetData>
    <row r="1" spans="1:36" s="76" customFormat="1">
      <c r="A1" s="76" t="s">
        <v>1338</v>
      </c>
      <c r="B1" s="76" t="s">
        <v>1339</v>
      </c>
      <c r="C1" s="76" t="s">
        <v>104</v>
      </c>
      <c r="D1" s="100" t="s">
        <v>20</v>
      </c>
      <c r="E1" s="100"/>
      <c r="F1" s="76" t="s">
        <v>1340</v>
      </c>
      <c r="G1" s="76" t="s">
        <v>1341</v>
      </c>
      <c r="H1" s="76" t="s">
        <v>1342</v>
      </c>
      <c r="I1" s="76" t="s">
        <v>1343</v>
      </c>
      <c r="J1" s="76" t="s">
        <v>1344</v>
      </c>
      <c r="K1" s="76" t="s">
        <v>1345</v>
      </c>
      <c r="L1" s="76" t="s">
        <v>1346</v>
      </c>
      <c r="M1" s="76" t="s">
        <v>1347</v>
      </c>
      <c r="N1" s="76" t="s">
        <v>1345</v>
      </c>
      <c r="O1" s="76" t="s">
        <v>1346</v>
      </c>
      <c r="P1" s="76" t="s">
        <v>1347</v>
      </c>
      <c r="Q1" s="76" t="s">
        <v>1345</v>
      </c>
      <c r="R1" s="76" t="s">
        <v>1346</v>
      </c>
      <c r="S1" s="76" t="s">
        <v>1347</v>
      </c>
      <c r="T1" s="76" t="s">
        <v>1345</v>
      </c>
      <c r="U1" s="76" t="s">
        <v>1346</v>
      </c>
      <c r="V1" s="76" t="s">
        <v>1347</v>
      </c>
      <c r="W1" s="76" t="s">
        <v>1345</v>
      </c>
      <c r="X1" s="76" t="s">
        <v>1346</v>
      </c>
      <c r="Y1" s="76" t="s">
        <v>1347</v>
      </c>
      <c r="Z1" s="76" t="s">
        <v>1345</v>
      </c>
      <c r="AA1" s="76" t="s">
        <v>1346</v>
      </c>
      <c r="AB1" s="76" t="s">
        <v>1347</v>
      </c>
      <c r="AC1" s="76">
        <v>16</v>
      </c>
    </row>
    <row r="2" spans="1:36">
      <c r="B2" t="s">
        <v>85</v>
      </c>
      <c r="C2">
        <v>92584</v>
      </c>
      <c r="D2" s="11" t="s">
        <v>1348</v>
      </c>
      <c r="E2" s="11" t="e">
        <f>VLOOKUP(C:C,#REF!,1,FALSE)</f>
        <v>#REF!</v>
      </c>
      <c r="F2" t="s">
        <v>1334</v>
      </c>
      <c r="K2">
        <v>92598</v>
      </c>
      <c r="L2" t="s">
        <v>980</v>
      </c>
      <c r="M2" t="s">
        <v>1336</v>
      </c>
      <c r="N2">
        <v>92597</v>
      </c>
      <c r="O2" t="s">
        <v>981</v>
      </c>
      <c r="P2" t="s">
        <v>1336</v>
      </c>
      <c r="Q2">
        <v>92598</v>
      </c>
      <c r="R2" t="s">
        <v>982</v>
      </c>
      <c r="S2" t="s">
        <v>1336</v>
      </c>
      <c r="T2">
        <v>92599</v>
      </c>
      <c r="U2" t="s">
        <v>983</v>
      </c>
      <c r="V2" t="s">
        <v>1336</v>
      </c>
      <c r="W2">
        <v>0</v>
      </c>
      <c r="X2">
        <v>0</v>
      </c>
      <c r="Y2" t="e">
        <v>#N/A</v>
      </c>
      <c r="Z2">
        <v>0</v>
      </c>
      <c r="AA2">
        <v>0</v>
      </c>
      <c r="AB2" t="e">
        <v>#N/A</v>
      </c>
      <c r="AC2" t="s">
        <v>1122</v>
      </c>
      <c r="AE2">
        <f>K:K</f>
        <v>92598</v>
      </c>
      <c r="AF2">
        <f>N:N</f>
        <v>92597</v>
      </c>
      <c r="AG2">
        <f>Q:Q</f>
        <v>92598</v>
      </c>
      <c r="AH2">
        <f>T:T</f>
        <v>92599</v>
      </c>
      <c r="AI2">
        <f>W:W</f>
        <v>0</v>
      </c>
      <c r="AJ2">
        <f>Z:Z</f>
        <v>0</v>
      </c>
    </row>
    <row r="3" spans="1:36">
      <c r="B3" t="s">
        <v>85</v>
      </c>
      <c r="C3">
        <v>92585</v>
      </c>
      <c r="D3" s="11" t="s">
        <v>1349</v>
      </c>
      <c r="E3" s="11" t="e">
        <f>VLOOKUP(C:C,#REF!,1,FALSE)</f>
        <v>#REF!</v>
      </c>
      <c r="F3" t="s">
        <v>1334</v>
      </c>
      <c r="K3">
        <v>92596</v>
      </c>
      <c r="L3" t="s">
        <v>980</v>
      </c>
      <c r="M3" t="s">
        <v>1336</v>
      </c>
      <c r="N3">
        <v>92597</v>
      </c>
      <c r="O3" t="s">
        <v>981</v>
      </c>
      <c r="P3" t="s">
        <v>1336</v>
      </c>
      <c r="Q3">
        <v>92598</v>
      </c>
      <c r="R3" t="s">
        <v>982</v>
      </c>
      <c r="S3" t="s">
        <v>1336</v>
      </c>
      <c r="T3">
        <v>92599</v>
      </c>
      <c r="U3" t="s">
        <v>983</v>
      </c>
      <c r="V3" t="s">
        <v>1336</v>
      </c>
      <c r="W3">
        <v>0</v>
      </c>
      <c r="X3">
        <v>0</v>
      </c>
      <c r="Y3" t="e">
        <v>#N/A</v>
      </c>
      <c r="Z3">
        <v>0</v>
      </c>
      <c r="AA3">
        <v>0</v>
      </c>
      <c r="AB3" t="e">
        <v>#N/A</v>
      </c>
      <c r="AC3" t="s">
        <v>1123</v>
      </c>
      <c r="AE3">
        <f t="shared" ref="AE3:AE55" si="0">K:K</f>
        <v>92596</v>
      </c>
      <c r="AF3">
        <f t="shared" ref="AF3:AF55" si="1">N:N</f>
        <v>92597</v>
      </c>
      <c r="AG3">
        <f t="shared" ref="AG3:AG55" si="2">Q:Q</f>
        <v>92598</v>
      </c>
      <c r="AH3">
        <f t="shared" ref="AH3:AH55" si="3">T:T</f>
        <v>92599</v>
      </c>
      <c r="AI3">
        <f t="shared" ref="AI3:AI55" si="4">W:W</f>
        <v>0</v>
      </c>
      <c r="AJ3">
        <f t="shared" ref="AJ3:AJ55" si="5">Z:Z</f>
        <v>0</v>
      </c>
    </row>
    <row r="4" spans="1:36">
      <c r="B4" t="s">
        <v>85</v>
      </c>
      <c r="C4">
        <v>92586</v>
      </c>
      <c r="D4" s="11" t="s">
        <v>1350</v>
      </c>
      <c r="E4" s="11" t="e">
        <f>VLOOKUP(C:C,#REF!,1,FALSE)</f>
        <v>#REF!</v>
      </c>
      <c r="F4" t="s">
        <v>1334</v>
      </c>
      <c r="K4">
        <v>92596</v>
      </c>
      <c r="L4" t="s">
        <v>980</v>
      </c>
      <c r="M4" t="s">
        <v>1336</v>
      </c>
      <c r="N4">
        <v>92597</v>
      </c>
      <c r="O4" t="s">
        <v>981</v>
      </c>
      <c r="P4" t="s">
        <v>1336</v>
      </c>
      <c r="Q4">
        <v>92598</v>
      </c>
      <c r="R4" t="s">
        <v>982</v>
      </c>
      <c r="S4" t="s">
        <v>1336</v>
      </c>
      <c r="T4">
        <v>92599</v>
      </c>
      <c r="U4" t="s">
        <v>983</v>
      </c>
      <c r="V4" t="s">
        <v>1336</v>
      </c>
      <c r="W4">
        <v>0</v>
      </c>
      <c r="X4">
        <v>0</v>
      </c>
      <c r="Y4" t="e">
        <v>#N/A</v>
      </c>
      <c r="Z4">
        <v>0</v>
      </c>
      <c r="AA4">
        <v>0</v>
      </c>
      <c r="AB4" t="e">
        <v>#N/A</v>
      </c>
      <c r="AC4" t="s">
        <v>1124</v>
      </c>
      <c r="AE4">
        <f t="shared" si="0"/>
        <v>92596</v>
      </c>
      <c r="AF4">
        <f t="shared" si="1"/>
        <v>92597</v>
      </c>
      <c r="AG4">
        <f t="shared" si="2"/>
        <v>92598</v>
      </c>
      <c r="AH4">
        <f t="shared" si="3"/>
        <v>92599</v>
      </c>
      <c r="AI4">
        <f t="shared" si="4"/>
        <v>0</v>
      </c>
      <c r="AJ4">
        <f t="shared" si="5"/>
        <v>0</v>
      </c>
    </row>
    <row r="5" spans="1:36">
      <c r="B5" t="s">
        <v>85</v>
      </c>
      <c r="C5">
        <v>92588</v>
      </c>
      <c r="D5" s="11" t="s">
        <v>1351</v>
      </c>
      <c r="E5" s="11" t="e">
        <f>VLOOKUP(C:C,#REF!,1,FALSE)</f>
        <v>#REF!</v>
      </c>
      <c r="F5" t="s">
        <v>1334</v>
      </c>
      <c r="K5">
        <v>92596</v>
      </c>
      <c r="L5" t="s">
        <v>980</v>
      </c>
      <c r="M5" t="s">
        <v>1336</v>
      </c>
      <c r="N5">
        <v>92597</v>
      </c>
      <c r="O5" t="s">
        <v>981</v>
      </c>
      <c r="P5" t="s">
        <v>1336</v>
      </c>
      <c r="Q5">
        <v>92598</v>
      </c>
      <c r="R5" t="s">
        <v>982</v>
      </c>
      <c r="S5" t="s">
        <v>1336</v>
      </c>
      <c r="T5">
        <v>92599</v>
      </c>
      <c r="U5" t="s">
        <v>983</v>
      </c>
      <c r="V5" t="s">
        <v>1336</v>
      </c>
      <c r="W5">
        <v>0</v>
      </c>
      <c r="X5">
        <v>0</v>
      </c>
      <c r="Y5" t="e">
        <v>#N/A</v>
      </c>
      <c r="Z5">
        <v>0</v>
      </c>
      <c r="AA5">
        <v>0</v>
      </c>
      <c r="AB5" t="e">
        <v>#N/A</v>
      </c>
      <c r="AC5" t="s">
        <v>1125</v>
      </c>
      <c r="AE5">
        <f t="shared" si="0"/>
        <v>92596</v>
      </c>
      <c r="AF5">
        <f t="shared" si="1"/>
        <v>92597</v>
      </c>
      <c r="AG5">
        <f t="shared" si="2"/>
        <v>92598</v>
      </c>
      <c r="AH5">
        <f t="shared" si="3"/>
        <v>92599</v>
      </c>
      <c r="AI5">
        <f t="shared" si="4"/>
        <v>0</v>
      </c>
      <c r="AJ5">
        <f t="shared" si="5"/>
        <v>0</v>
      </c>
    </row>
    <row r="6" spans="1:36">
      <c r="B6" t="s">
        <v>85</v>
      </c>
      <c r="C6">
        <v>92580</v>
      </c>
      <c r="D6" s="11" t="s">
        <v>1352</v>
      </c>
      <c r="E6" s="11" t="e">
        <f>VLOOKUP(C:C,#REF!,1,FALSE)</f>
        <v>#REF!</v>
      </c>
      <c r="F6" t="s">
        <v>1334</v>
      </c>
      <c r="K6">
        <v>92613</v>
      </c>
      <c r="L6" t="s">
        <v>1353</v>
      </c>
      <c r="M6" t="s">
        <v>1334</v>
      </c>
      <c r="N6">
        <v>92614</v>
      </c>
      <c r="O6" t="s">
        <v>1354</v>
      </c>
      <c r="P6" t="s">
        <v>1334</v>
      </c>
      <c r="Q6">
        <v>92592</v>
      </c>
      <c r="R6" t="s">
        <v>1355</v>
      </c>
      <c r="S6" t="s">
        <v>1334</v>
      </c>
      <c r="T6">
        <v>92593</v>
      </c>
      <c r="U6" t="s">
        <v>1356</v>
      </c>
      <c r="V6" t="s">
        <v>1334</v>
      </c>
      <c r="W6">
        <v>0</v>
      </c>
      <c r="X6">
        <v>0</v>
      </c>
      <c r="Y6" t="e">
        <v>#N/A</v>
      </c>
      <c r="Z6">
        <v>0</v>
      </c>
      <c r="AA6">
        <v>0</v>
      </c>
      <c r="AB6" t="e">
        <v>#N/A</v>
      </c>
      <c r="AC6" t="s">
        <v>1122</v>
      </c>
      <c r="AE6">
        <f t="shared" si="0"/>
        <v>92613</v>
      </c>
      <c r="AF6">
        <f t="shared" si="1"/>
        <v>92614</v>
      </c>
      <c r="AG6">
        <f t="shared" si="2"/>
        <v>92592</v>
      </c>
      <c r="AH6">
        <f t="shared" si="3"/>
        <v>92593</v>
      </c>
      <c r="AI6">
        <f t="shared" si="4"/>
        <v>0</v>
      </c>
      <c r="AJ6">
        <f t="shared" si="5"/>
        <v>0</v>
      </c>
    </row>
    <row r="7" spans="1:36">
      <c r="B7" t="s">
        <v>85</v>
      </c>
      <c r="C7">
        <v>92582</v>
      </c>
      <c r="D7" s="11" t="s">
        <v>1357</v>
      </c>
      <c r="E7" s="11" t="e">
        <f>VLOOKUP(C:C,#REF!,1,FALSE)</f>
        <v>#REF!</v>
      </c>
      <c r="F7" t="s">
        <v>1334</v>
      </c>
      <c r="K7">
        <v>92613</v>
      </c>
      <c r="L7" t="s">
        <v>1353</v>
      </c>
      <c r="M7" t="s">
        <v>1334</v>
      </c>
      <c r="N7">
        <v>92614</v>
      </c>
      <c r="O7" t="s">
        <v>1354</v>
      </c>
      <c r="P7" t="s">
        <v>1334</v>
      </c>
      <c r="Q7">
        <v>92592</v>
      </c>
      <c r="R7" t="s">
        <v>1355</v>
      </c>
      <c r="S7" t="s">
        <v>1334</v>
      </c>
      <c r="T7">
        <v>92593</v>
      </c>
      <c r="U7" t="s">
        <v>1356</v>
      </c>
      <c r="V7" t="s">
        <v>1334</v>
      </c>
      <c r="W7">
        <v>0</v>
      </c>
      <c r="X7">
        <v>0</v>
      </c>
      <c r="Y7" t="e">
        <v>#N/A</v>
      </c>
      <c r="Z7">
        <v>0</v>
      </c>
      <c r="AA7">
        <v>0</v>
      </c>
      <c r="AB7" t="e">
        <v>#N/A</v>
      </c>
      <c r="AC7" t="s">
        <v>1123</v>
      </c>
      <c r="AE7">
        <f t="shared" si="0"/>
        <v>92613</v>
      </c>
      <c r="AF7">
        <f t="shared" si="1"/>
        <v>92614</v>
      </c>
      <c r="AG7">
        <f t="shared" si="2"/>
        <v>92592</v>
      </c>
      <c r="AH7">
        <f t="shared" si="3"/>
        <v>92593</v>
      </c>
      <c r="AI7">
        <f t="shared" si="4"/>
        <v>0</v>
      </c>
      <c r="AJ7">
        <f t="shared" si="5"/>
        <v>0</v>
      </c>
    </row>
    <row r="8" spans="1:36">
      <c r="B8" t="s">
        <v>85</v>
      </c>
      <c r="C8">
        <v>92583</v>
      </c>
      <c r="D8" s="11" t="s">
        <v>1358</v>
      </c>
      <c r="E8" s="11" t="e">
        <f>VLOOKUP(C:C,#REF!,1,FALSE)</f>
        <v>#REF!</v>
      </c>
      <c r="F8" t="s">
        <v>1334</v>
      </c>
      <c r="K8">
        <v>92613</v>
      </c>
      <c r="L8" t="s">
        <v>1353</v>
      </c>
      <c r="M8" t="s">
        <v>1334</v>
      </c>
      <c r="N8">
        <v>92614</v>
      </c>
      <c r="O8" t="s">
        <v>1354</v>
      </c>
      <c r="P8" t="s">
        <v>1334</v>
      </c>
      <c r="Q8">
        <v>92592</v>
      </c>
      <c r="R8" t="s">
        <v>1355</v>
      </c>
      <c r="S8" t="s">
        <v>1334</v>
      </c>
      <c r="T8">
        <v>92593</v>
      </c>
      <c r="U8" t="s">
        <v>1356</v>
      </c>
      <c r="V8" t="s">
        <v>1334</v>
      </c>
      <c r="W8">
        <v>0</v>
      </c>
      <c r="X8">
        <v>0</v>
      </c>
      <c r="Y8" t="e">
        <v>#N/A</v>
      </c>
      <c r="Z8">
        <v>0</v>
      </c>
      <c r="AA8">
        <v>0</v>
      </c>
      <c r="AB8" t="e">
        <v>#N/A</v>
      </c>
      <c r="AC8" t="s">
        <v>1124</v>
      </c>
      <c r="AE8">
        <f t="shared" si="0"/>
        <v>92613</v>
      </c>
      <c r="AF8">
        <f t="shared" si="1"/>
        <v>92614</v>
      </c>
      <c r="AG8">
        <f t="shared" si="2"/>
        <v>92592</v>
      </c>
      <c r="AH8">
        <f t="shared" si="3"/>
        <v>92593</v>
      </c>
      <c r="AI8">
        <f t="shared" si="4"/>
        <v>0</v>
      </c>
      <c r="AJ8">
        <f t="shared" si="5"/>
        <v>0</v>
      </c>
    </row>
    <row r="9" spans="1:36">
      <c r="A9" t="s">
        <v>1359</v>
      </c>
      <c r="B9" t="s">
        <v>85</v>
      </c>
      <c r="C9" t="s">
        <v>768</v>
      </c>
      <c r="D9" s="11" t="s">
        <v>1360</v>
      </c>
      <c r="E9" s="11" t="e">
        <f>VLOOKUP(C:C,#REF!,1,FALSE)</f>
        <v>#REF!</v>
      </c>
      <c r="F9" t="s">
        <v>1335</v>
      </c>
      <c r="G9">
        <v>1</v>
      </c>
      <c r="H9">
        <v>1</v>
      </c>
      <c r="I9" t="s">
        <v>1122</v>
      </c>
      <c r="J9">
        <v>0</v>
      </c>
      <c r="K9" t="s">
        <v>86</v>
      </c>
      <c r="L9" t="s">
        <v>984</v>
      </c>
      <c r="M9" t="s">
        <v>1336</v>
      </c>
      <c r="N9" t="s">
        <v>92</v>
      </c>
      <c r="O9" t="s">
        <v>985</v>
      </c>
      <c r="P9" t="s">
        <v>1336</v>
      </c>
      <c r="Q9">
        <v>0</v>
      </c>
      <c r="R9">
        <v>0</v>
      </c>
      <c r="S9" t="e">
        <v>#N/A</v>
      </c>
      <c r="T9">
        <v>0</v>
      </c>
      <c r="U9">
        <v>0</v>
      </c>
      <c r="V9" t="e">
        <v>#N/A</v>
      </c>
      <c r="W9">
        <v>0</v>
      </c>
      <c r="X9">
        <v>0</v>
      </c>
      <c r="Y9" t="e">
        <v>#N/A</v>
      </c>
      <c r="Z9">
        <v>0</v>
      </c>
      <c r="AA9">
        <v>0</v>
      </c>
      <c r="AB9" t="e">
        <v>#N/A</v>
      </c>
      <c r="AC9" t="s">
        <v>1122</v>
      </c>
      <c r="AE9" t="str">
        <f t="shared" si="0"/>
        <v>92590T</v>
      </c>
      <c r="AF9" t="str">
        <f t="shared" si="1"/>
        <v>92591T</v>
      </c>
      <c r="AG9">
        <f t="shared" si="2"/>
        <v>0</v>
      </c>
      <c r="AH9">
        <f t="shared" si="3"/>
        <v>0</v>
      </c>
      <c r="AI9">
        <f t="shared" si="4"/>
        <v>0</v>
      </c>
      <c r="AJ9">
        <f t="shared" si="5"/>
        <v>0</v>
      </c>
    </row>
    <row r="10" spans="1:36">
      <c r="A10" t="s">
        <v>1359</v>
      </c>
      <c r="B10" t="s">
        <v>85</v>
      </c>
      <c r="C10">
        <v>350863</v>
      </c>
      <c r="D10" s="11" t="s">
        <v>3371</v>
      </c>
      <c r="E10" s="11" t="e">
        <f>VLOOKUP(C:C,#REF!,1,FALSE)</f>
        <v>#REF!</v>
      </c>
      <c r="F10" t="s">
        <v>1336</v>
      </c>
      <c r="G10">
        <v>1</v>
      </c>
      <c r="H10">
        <v>1</v>
      </c>
      <c r="I10" t="s">
        <v>1122</v>
      </c>
      <c r="J10">
        <v>0</v>
      </c>
      <c r="K10">
        <v>315856</v>
      </c>
      <c r="L10" t="s">
        <v>1361</v>
      </c>
      <c r="M10" t="s">
        <v>1336</v>
      </c>
      <c r="N10">
        <v>92596</v>
      </c>
      <c r="O10" t="s">
        <v>980</v>
      </c>
      <c r="P10" t="s">
        <v>1336</v>
      </c>
      <c r="Q10">
        <v>92597</v>
      </c>
      <c r="R10" t="s">
        <v>981</v>
      </c>
      <c r="S10" t="s">
        <v>1336</v>
      </c>
      <c r="T10">
        <v>350868</v>
      </c>
      <c r="U10" t="s">
        <v>1362</v>
      </c>
      <c r="V10" t="s">
        <v>1335</v>
      </c>
      <c r="W10">
        <v>92598</v>
      </c>
      <c r="X10" t="s">
        <v>982</v>
      </c>
      <c r="Y10" t="s">
        <v>1336</v>
      </c>
      <c r="Z10">
        <v>92599</v>
      </c>
      <c r="AA10" t="s">
        <v>983</v>
      </c>
      <c r="AB10" t="s">
        <v>1336</v>
      </c>
      <c r="AC10" t="s">
        <v>1122</v>
      </c>
      <c r="AE10">
        <f t="shared" si="0"/>
        <v>315856</v>
      </c>
      <c r="AF10">
        <f t="shared" si="1"/>
        <v>92596</v>
      </c>
      <c r="AG10">
        <f t="shared" si="2"/>
        <v>92597</v>
      </c>
      <c r="AH10">
        <f t="shared" si="3"/>
        <v>350868</v>
      </c>
      <c r="AI10">
        <f t="shared" si="4"/>
        <v>92598</v>
      </c>
      <c r="AJ10">
        <f t="shared" si="5"/>
        <v>92599</v>
      </c>
    </row>
    <row r="11" spans="1:36">
      <c r="A11" t="s">
        <v>1363</v>
      </c>
      <c r="B11" t="s">
        <v>85</v>
      </c>
      <c r="C11">
        <v>350864</v>
      </c>
      <c r="D11" s="11" t="s">
        <v>3380</v>
      </c>
      <c r="E11" s="11" t="e">
        <f>VLOOKUP(C:C,#REF!,1,FALSE)</f>
        <v>#REF!</v>
      </c>
      <c r="F11" t="s">
        <v>1336</v>
      </c>
      <c r="G11">
        <v>1</v>
      </c>
      <c r="H11">
        <v>0</v>
      </c>
      <c r="I11" t="s">
        <v>1122</v>
      </c>
      <c r="J11">
        <v>1</v>
      </c>
      <c r="K11">
        <v>315856</v>
      </c>
      <c r="L11" t="s">
        <v>1361</v>
      </c>
      <c r="M11" t="s">
        <v>1336</v>
      </c>
      <c r="N11">
        <v>92596</v>
      </c>
      <c r="O11" t="s">
        <v>980</v>
      </c>
      <c r="P11" t="s">
        <v>1336</v>
      </c>
      <c r="Q11">
        <v>92597</v>
      </c>
      <c r="R11" t="s">
        <v>981</v>
      </c>
      <c r="S11" t="s">
        <v>1336</v>
      </c>
      <c r="T11">
        <v>350868</v>
      </c>
      <c r="U11" t="s">
        <v>1362</v>
      </c>
      <c r="V11" t="s">
        <v>1335</v>
      </c>
      <c r="W11">
        <v>92598</v>
      </c>
      <c r="X11" t="s">
        <v>982</v>
      </c>
      <c r="Y11" t="s">
        <v>1336</v>
      </c>
      <c r="Z11">
        <v>92599</v>
      </c>
      <c r="AA11" t="s">
        <v>983</v>
      </c>
      <c r="AB11" t="s">
        <v>1336</v>
      </c>
      <c r="AC11" t="s">
        <v>1122</v>
      </c>
      <c r="AE11">
        <f t="shared" si="0"/>
        <v>315856</v>
      </c>
      <c r="AF11">
        <f t="shared" si="1"/>
        <v>92596</v>
      </c>
      <c r="AG11">
        <f t="shared" si="2"/>
        <v>92597</v>
      </c>
      <c r="AH11">
        <f t="shared" si="3"/>
        <v>350868</v>
      </c>
      <c r="AI11">
        <f t="shared" si="4"/>
        <v>92598</v>
      </c>
      <c r="AJ11">
        <f t="shared" si="5"/>
        <v>92599</v>
      </c>
    </row>
    <row r="12" spans="1:36">
      <c r="A12" t="s">
        <v>1359</v>
      </c>
      <c r="B12" t="s">
        <v>85</v>
      </c>
      <c r="C12" t="s">
        <v>87</v>
      </c>
      <c r="D12" s="11" t="s">
        <v>1364</v>
      </c>
      <c r="E12" s="11" t="e">
        <f>VLOOKUP(C:C,#REF!,1,FALSE)</f>
        <v>#REF!</v>
      </c>
      <c r="F12" t="s">
        <v>1336</v>
      </c>
      <c r="G12">
        <v>0</v>
      </c>
      <c r="H12">
        <v>1</v>
      </c>
      <c r="I12" t="s">
        <v>1122</v>
      </c>
      <c r="J12">
        <v>0</v>
      </c>
      <c r="K12" t="s">
        <v>86</v>
      </c>
      <c r="L12" t="s">
        <v>984</v>
      </c>
      <c r="M12" t="s">
        <v>1336</v>
      </c>
      <c r="N12" t="s">
        <v>121</v>
      </c>
      <c r="O12" t="s">
        <v>1365</v>
      </c>
      <c r="P12" t="s">
        <v>1335</v>
      </c>
      <c r="Q12" t="s">
        <v>90</v>
      </c>
      <c r="R12" t="s">
        <v>1366</v>
      </c>
      <c r="S12" t="s">
        <v>1336</v>
      </c>
      <c r="T12" t="s">
        <v>92</v>
      </c>
      <c r="U12">
        <v>0</v>
      </c>
      <c r="V12" t="s">
        <v>1336</v>
      </c>
      <c r="W12" t="s">
        <v>119</v>
      </c>
      <c r="X12">
        <v>0</v>
      </c>
      <c r="Y12" t="s">
        <v>1336</v>
      </c>
      <c r="Z12">
        <v>0</v>
      </c>
      <c r="AA12">
        <v>0</v>
      </c>
      <c r="AB12" t="e">
        <v>#N/A</v>
      </c>
      <c r="AC12" t="s">
        <v>1122</v>
      </c>
      <c r="AE12" t="str">
        <f t="shared" si="0"/>
        <v>92590T</v>
      </c>
      <c r="AF12" t="str">
        <f t="shared" si="1"/>
        <v>92592T</v>
      </c>
      <c r="AG12" t="str">
        <f t="shared" si="2"/>
        <v>92594T</v>
      </c>
      <c r="AH12" t="str">
        <f t="shared" si="3"/>
        <v>92591T</v>
      </c>
      <c r="AI12" t="str">
        <f t="shared" si="4"/>
        <v>92593T</v>
      </c>
      <c r="AJ12">
        <f t="shared" si="5"/>
        <v>0</v>
      </c>
    </row>
    <row r="13" spans="1:36">
      <c r="A13" t="s">
        <v>1359</v>
      </c>
      <c r="B13" t="s">
        <v>85</v>
      </c>
      <c r="C13" t="s">
        <v>88</v>
      </c>
      <c r="D13" s="11" t="s">
        <v>1367</v>
      </c>
      <c r="E13" s="11" t="e">
        <f>VLOOKUP(C:C,#REF!,1,FALSE)</f>
        <v>#REF!</v>
      </c>
      <c r="F13" t="s">
        <v>1336</v>
      </c>
      <c r="G13">
        <v>0</v>
      </c>
      <c r="H13">
        <v>1</v>
      </c>
      <c r="I13" t="s">
        <v>1123</v>
      </c>
      <c r="J13">
        <v>0</v>
      </c>
      <c r="K13" t="s">
        <v>86</v>
      </c>
      <c r="L13" t="s">
        <v>984</v>
      </c>
      <c r="M13" t="s">
        <v>1336</v>
      </c>
      <c r="N13" t="s">
        <v>121</v>
      </c>
      <c r="O13" t="s">
        <v>1365</v>
      </c>
      <c r="P13" t="s">
        <v>1335</v>
      </c>
      <c r="Q13" t="s">
        <v>90</v>
      </c>
      <c r="R13" t="s">
        <v>1366</v>
      </c>
      <c r="S13" t="s">
        <v>1336</v>
      </c>
      <c r="T13" t="s">
        <v>92</v>
      </c>
      <c r="U13">
        <v>0</v>
      </c>
      <c r="V13" t="s">
        <v>1336</v>
      </c>
      <c r="W13" t="s">
        <v>119</v>
      </c>
      <c r="X13">
        <v>0</v>
      </c>
      <c r="Y13" t="s">
        <v>1336</v>
      </c>
      <c r="Z13">
        <v>0</v>
      </c>
      <c r="AA13">
        <v>0</v>
      </c>
      <c r="AB13" t="e">
        <v>#N/A</v>
      </c>
      <c r="AC13" t="s">
        <v>1123</v>
      </c>
      <c r="AE13" t="str">
        <f t="shared" si="0"/>
        <v>92590T</v>
      </c>
      <c r="AF13" t="str">
        <f t="shared" si="1"/>
        <v>92592T</v>
      </c>
      <c r="AG13" t="str">
        <f t="shared" si="2"/>
        <v>92594T</v>
      </c>
      <c r="AH13" t="str">
        <f t="shared" si="3"/>
        <v>92591T</v>
      </c>
      <c r="AI13" t="str">
        <f t="shared" si="4"/>
        <v>92593T</v>
      </c>
      <c r="AJ13">
        <f t="shared" si="5"/>
        <v>0</v>
      </c>
    </row>
    <row r="14" spans="1:36">
      <c r="A14" t="s">
        <v>1359</v>
      </c>
      <c r="B14" t="s">
        <v>85</v>
      </c>
      <c r="C14" t="s">
        <v>89</v>
      </c>
      <c r="D14" s="11" t="s">
        <v>1368</v>
      </c>
      <c r="E14" s="11" t="e">
        <f>VLOOKUP(C:C,#REF!,1,FALSE)</f>
        <v>#REF!</v>
      </c>
      <c r="F14" t="s">
        <v>1335</v>
      </c>
      <c r="G14">
        <v>0</v>
      </c>
      <c r="H14">
        <v>1</v>
      </c>
      <c r="I14" t="s">
        <v>1124</v>
      </c>
      <c r="J14">
        <v>0</v>
      </c>
      <c r="K14" t="s">
        <v>86</v>
      </c>
      <c r="L14" t="s">
        <v>984</v>
      </c>
      <c r="M14" t="s">
        <v>1336</v>
      </c>
      <c r="N14" t="s">
        <v>121</v>
      </c>
      <c r="O14" t="s">
        <v>1365</v>
      </c>
      <c r="P14" t="s">
        <v>1335</v>
      </c>
      <c r="Q14" t="s">
        <v>90</v>
      </c>
      <c r="R14" t="s">
        <v>1366</v>
      </c>
      <c r="S14" t="s">
        <v>1336</v>
      </c>
      <c r="T14" t="s">
        <v>92</v>
      </c>
      <c r="U14">
        <v>0</v>
      </c>
      <c r="V14" t="s">
        <v>1336</v>
      </c>
      <c r="W14" t="s">
        <v>119</v>
      </c>
      <c r="X14">
        <v>0</v>
      </c>
      <c r="Y14" t="s">
        <v>1336</v>
      </c>
      <c r="Z14">
        <v>0</v>
      </c>
      <c r="AA14">
        <v>0</v>
      </c>
      <c r="AB14" t="e">
        <v>#N/A</v>
      </c>
      <c r="AC14" t="s">
        <v>1124</v>
      </c>
      <c r="AE14" t="str">
        <f t="shared" si="0"/>
        <v>92590T</v>
      </c>
      <c r="AF14" t="str">
        <f t="shared" si="1"/>
        <v>92592T</v>
      </c>
      <c r="AG14" t="str">
        <f t="shared" si="2"/>
        <v>92594T</v>
      </c>
      <c r="AH14" t="str">
        <f t="shared" si="3"/>
        <v>92591T</v>
      </c>
      <c r="AI14" t="str">
        <f t="shared" si="4"/>
        <v>92593T</v>
      </c>
      <c r="AJ14">
        <f t="shared" si="5"/>
        <v>0</v>
      </c>
    </row>
    <row r="15" spans="1:36">
      <c r="A15" t="s">
        <v>1359</v>
      </c>
      <c r="B15" t="s">
        <v>85</v>
      </c>
      <c r="C15" t="s">
        <v>91</v>
      </c>
      <c r="D15" s="11" t="s">
        <v>1369</v>
      </c>
      <c r="E15" s="11" t="e">
        <f>VLOOKUP(C:C,#REF!,1,FALSE)</f>
        <v>#REF!</v>
      </c>
      <c r="F15" t="s">
        <v>1336</v>
      </c>
      <c r="G15">
        <v>0</v>
      </c>
      <c r="H15">
        <v>1</v>
      </c>
      <c r="I15" t="s">
        <v>1125</v>
      </c>
      <c r="J15">
        <v>0</v>
      </c>
      <c r="K15" t="s">
        <v>86</v>
      </c>
      <c r="L15" t="s">
        <v>984</v>
      </c>
      <c r="M15" t="s">
        <v>1336</v>
      </c>
      <c r="N15" t="s">
        <v>121</v>
      </c>
      <c r="O15" t="s">
        <v>1365</v>
      </c>
      <c r="P15" t="s">
        <v>1335</v>
      </c>
      <c r="Q15" t="s">
        <v>90</v>
      </c>
      <c r="R15" t="s">
        <v>1366</v>
      </c>
      <c r="S15" t="s">
        <v>1336</v>
      </c>
      <c r="T15" t="s">
        <v>92</v>
      </c>
      <c r="U15">
        <v>0</v>
      </c>
      <c r="V15" t="s">
        <v>1336</v>
      </c>
      <c r="W15" t="s">
        <v>119</v>
      </c>
      <c r="X15">
        <v>0</v>
      </c>
      <c r="Y15" t="s">
        <v>1336</v>
      </c>
      <c r="Z15">
        <v>0</v>
      </c>
      <c r="AA15">
        <v>0</v>
      </c>
      <c r="AB15" t="e">
        <v>#N/A</v>
      </c>
      <c r="AC15" t="s">
        <v>1125</v>
      </c>
      <c r="AE15" t="str">
        <f t="shared" si="0"/>
        <v>92590T</v>
      </c>
      <c r="AF15" t="str">
        <f t="shared" si="1"/>
        <v>92592T</v>
      </c>
      <c r="AG15" t="str">
        <f t="shared" si="2"/>
        <v>92594T</v>
      </c>
      <c r="AH15" t="str">
        <f t="shared" si="3"/>
        <v>92591T</v>
      </c>
      <c r="AI15" t="str">
        <f t="shared" si="4"/>
        <v>92593T</v>
      </c>
      <c r="AJ15">
        <f t="shared" si="5"/>
        <v>0</v>
      </c>
    </row>
    <row r="16" spans="1:36">
      <c r="A16" t="s">
        <v>1359</v>
      </c>
      <c r="B16" t="s">
        <v>85</v>
      </c>
      <c r="C16">
        <v>350827</v>
      </c>
      <c r="D16" s="101" t="s">
        <v>3372</v>
      </c>
      <c r="E16" s="11" t="e">
        <f>VLOOKUP(C:C,#REF!,1,FALSE)</f>
        <v>#REF!</v>
      </c>
      <c r="F16" t="s">
        <v>1336</v>
      </c>
      <c r="G16">
        <v>0</v>
      </c>
      <c r="H16">
        <v>1</v>
      </c>
      <c r="I16" t="s">
        <v>1122</v>
      </c>
      <c r="J16">
        <v>0</v>
      </c>
      <c r="K16">
        <v>315856</v>
      </c>
      <c r="L16" t="s">
        <v>1361</v>
      </c>
      <c r="M16" t="s">
        <v>1336</v>
      </c>
      <c r="N16">
        <v>92596</v>
      </c>
      <c r="O16" t="s">
        <v>980</v>
      </c>
      <c r="P16" t="s">
        <v>1336</v>
      </c>
      <c r="Q16">
        <v>92597</v>
      </c>
      <c r="R16" t="s">
        <v>981</v>
      </c>
      <c r="S16" t="s">
        <v>1336</v>
      </c>
      <c r="T16">
        <v>350868</v>
      </c>
      <c r="U16" t="s">
        <v>1362</v>
      </c>
      <c r="V16" t="s">
        <v>1335</v>
      </c>
      <c r="W16">
        <v>92598</v>
      </c>
      <c r="X16" t="s">
        <v>982</v>
      </c>
      <c r="Y16" t="s">
        <v>1336</v>
      </c>
      <c r="Z16">
        <v>92599</v>
      </c>
      <c r="AA16" t="s">
        <v>983</v>
      </c>
      <c r="AB16" t="s">
        <v>1336</v>
      </c>
      <c r="AC16" t="s">
        <v>1122</v>
      </c>
      <c r="AE16">
        <f t="shared" si="0"/>
        <v>315856</v>
      </c>
      <c r="AF16">
        <f t="shared" si="1"/>
        <v>92596</v>
      </c>
      <c r="AG16">
        <f t="shared" si="2"/>
        <v>92597</v>
      </c>
      <c r="AH16">
        <f t="shared" si="3"/>
        <v>350868</v>
      </c>
      <c r="AI16">
        <f t="shared" si="4"/>
        <v>92598</v>
      </c>
      <c r="AJ16">
        <f t="shared" si="5"/>
        <v>92599</v>
      </c>
    </row>
    <row r="17" spans="1:36">
      <c r="A17" t="s">
        <v>1405</v>
      </c>
      <c r="B17" t="s">
        <v>85</v>
      </c>
      <c r="C17">
        <v>350837</v>
      </c>
      <c r="D17" s="101" t="s">
        <v>3373</v>
      </c>
      <c r="E17" s="11" t="e">
        <f>VLOOKUP(C:C,#REF!,1,FALSE)</f>
        <v>#REF!</v>
      </c>
      <c r="F17" t="s">
        <v>1336</v>
      </c>
      <c r="G17">
        <v>0</v>
      </c>
      <c r="H17">
        <v>0</v>
      </c>
      <c r="I17" t="s">
        <v>1122</v>
      </c>
      <c r="J17">
        <v>1</v>
      </c>
      <c r="K17">
        <v>315856</v>
      </c>
      <c r="L17" t="s">
        <v>1361</v>
      </c>
      <c r="M17" t="s">
        <v>1336</v>
      </c>
      <c r="N17">
        <v>92596</v>
      </c>
      <c r="O17" t="s">
        <v>980</v>
      </c>
      <c r="P17" t="s">
        <v>1336</v>
      </c>
      <c r="Q17">
        <v>92597</v>
      </c>
      <c r="R17" t="s">
        <v>981</v>
      </c>
      <c r="S17" t="s">
        <v>1336</v>
      </c>
      <c r="T17">
        <v>350868</v>
      </c>
      <c r="U17" t="s">
        <v>1362</v>
      </c>
      <c r="V17" t="s">
        <v>1335</v>
      </c>
      <c r="W17">
        <v>92598</v>
      </c>
      <c r="X17" t="s">
        <v>982</v>
      </c>
      <c r="Y17" t="s">
        <v>1336</v>
      </c>
      <c r="Z17">
        <v>92599</v>
      </c>
      <c r="AA17" t="s">
        <v>983</v>
      </c>
      <c r="AB17" t="s">
        <v>1336</v>
      </c>
      <c r="AC17" t="s">
        <v>1122</v>
      </c>
      <c r="AE17">
        <f t="shared" si="0"/>
        <v>315856</v>
      </c>
      <c r="AF17">
        <f t="shared" si="1"/>
        <v>92596</v>
      </c>
      <c r="AG17">
        <f t="shared" si="2"/>
        <v>92597</v>
      </c>
      <c r="AH17">
        <f t="shared" si="3"/>
        <v>350868</v>
      </c>
      <c r="AI17">
        <f t="shared" si="4"/>
        <v>92598</v>
      </c>
      <c r="AJ17">
        <f t="shared" si="5"/>
        <v>92599</v>
      </c>
    </row>
    <row r="18" spans="1:36">
      <c r="A18" t="s">
        <v>1359</v>
      </c>
      <c r="B18" t="s">
        <v>85</v>
      </c>
      <c r="C18">
        <v>350828</v>
      </c>
      <c r="D18" s="101" t="s">
        <v>3374</v>
      </c>
      <c r="E18" s="11" t="e">
        <f>VLOOKUP(C:C,#REF!,1,FALSE)</f>
        <v>#REF!</v>
      </c>
      <c r="F18" t="s">
        <v>1336</v>
      </c>
      <c r="G18">
        <v>0</v>
      </c>
      <c r="H18">
        <v>1</v>
      </c>
      <c r="I18" t="s">
        <v>1123</v>
      </c>
      <c r="J18">
        <v>0</v>
      </c>
      <c r="K18">
        <v>315856</v>
      </c>
      <c r="L18" t="s">
        <v>1361</v>
      </c>
      <c r="M18" t="s">
        <v>1336</v>
      </c>
      <c r="N18">
        <v>92596</v>
      </c>
      <c r="O18" t="s">
        <v>980</v>
      </c>
      <c r="P18" t="s">
        <v>1336</v>
      </c>
      <c r="Q18">
        <v>92597</v>
      </c>
      <c r="R18" t="s">
        <v>981</v>
      </c>
      <c r="S18" t="s">
        <v>1336</v>
      </c>
      <c r="T18">
        <v>350868</v>
      </c>
      <c r="U18" t="s">
        <v>1362</v>
      </c>
      <c r="V18" t="s">
        <v>1335</v>
      </c>
      <c r="W18">
        <v>92598</v>
      </c>
      <c r="X18" t="s">
        <v>982</v>
      </c>
      <c r="Y18" t="s">
        <v>1336</v>
      </c>
      <c r="Z18">
        <v>92599</v>
      </c>
      <c r="AA18" t="s">
        <v>983</v>
      </c>
      <c r="AB18" t="s">
        <v>1336</v>
      </c>
      <c r="AC18" t="s">
        <v>1123</v>
      </c>
      <c r="AE18">
        <f t="shared" si="0"/>
        <v>315856</v>
      </c>
      <c r="AF18">
        <f t="shared" si="1"/>
        <v>92596</v>
      </c>
      <c r="AG18">
        <f t="shared" si="2"/>
        <v>92597</v>
      </c>
      <c r="AH18">
        <f t="shared" si="3"/>
        <v>350868</v>
      </c>
      <c r="AI18">
        <f t="shared" si="4"/>
        <v>92598</v>
      </c>
      <c r="AJ18">
        <f t="shared" si="5"/>
        <v>92599</v>
      </c>
    </row>
    <row r="19" spans="1:36">
      <c r="A19" t="s">
        <v>1405</v>
      </c>
      <c r="B19" t="s">
        <v>85</v>
      </c>
      <c r="C19">
        <v>350838</v>
      </c>
      <c r="D19" s="101" t="s">
        <v>3375</v>
      </c>
      <c r="E19" s="11" t="e">
        <f>VLOOKUP(C:C,#REF!,1,FALSE)</f>
        <v>#REF!</v>
      </c>
      <c r="F19" t="s">
        <v>1336</v>
      </c>
      <c r="G19">
        <v>0</v>
      </c>
      <c r="H19">
        <v>0</v>
      </c>
      <c r="I19" t="s">
        <v>1123</v>
      </c>
      <c r="J19">
        <v>1</v>
      </c>
      <c r="K19">
        <v>315856</v>
      </c>
      <c r="L19" t="s">
        <v>1361</v>
      </c>
      <c r="M19" t="s">
        <v>1336</v>
      </c>
      <c r="N19">
        <v>92596</v>
      </c>
      <c r="O19" t="s">
        <v>980</v>
      </c>
      <c r="P19" t="s">
        <v>1336</v>
      </c>
      <c r="Q19">
        <v>92597</v>
      </c>
      <c r="R19" t="s">
        <v>981</v>
      </c>
      <c r="S19" t="s">
        <v>1336</v>
      </c>
      <c r="T19">
        <v>350868</v>
      </c>
      <c r="U19" t="s">
        <v>1362</v>
      </c>
      <c r="V19" t="s">
        <v>1335</v>
      </c>
      <c r="W19">
        <v>92598</v>
      </c>
      <c r="X19" t="s">
        <v>982</v>
      </c>
      <c r="Y19" t="s">
        <v>1336</v>
      </c>
      <c r="Z19">
        <v>92599</v>
      </c>
      <c r="AA19" t="s">
        <v>983</v>
      </c>
      <c r="AB19" t="s">
        <v>1336</v>
      </c>
      <c r="AC19" t="s">
        <v>1123</v>
      </c>
      <c r="AE19">
        <f t="shared" si="0"/>
        <v>315856</v>
      </c>
      <c r="AF19">
        <f t="shared" si="1"/>
        <v>92596</v>
      </c>
      <c r="AG19">
        <f t="shared" si="2"/>
        <v>92597</v>
      </c>
      <c r="AH19">
        <f t="shared" si="3"/>
        <v>350868</v>
      </c>
      <c r="AI19">
        <f t="shared" si="4"/>
        <v>92598</v>
      </c>
      <c r="AJ19">
        <f t="shared" si="5"/>
        <v>92599</v>
      </c>
    </row>
    <row r="20" spans="1:36">
      <c r="A20" t="s">
        <v>1359</v>
      </c>
      <c r="B20" t="s">
        <v>85</v>
      </c>
      <c r="C20">
        <v>350829</v>
      </c>
      <c r="D20" s="101" t="s">
        <v>3376</v>
      </c>
      <c r="E20" s="11" t="e">
        <f>VLOOKUP(C:C,#REF!,1,FALSE)</f>
        <v>#REF!</v>
      </c>
      <c r="F20" t="s">
        <v>1336</v>
      </c>
      <c r="G20">
        <v>0</v>
      </c>
      <c r="H20">
        <v>1</v>
      </c>
      <c r="I20" t="s">
        <v>1124</v>
      </c>
      <c r="J20">
        <v>0</v>
      </c>
      <c r="K20">
        <v>315856</v>
      </c>
      <c r="L20" t="s">
        <v>1361</v>
      </c>
      <c r="M20" t="s">
        <v>1336</v>
      </c>
      <c r="N20">
        <v>92596</v>
      </c>
      <c r="O20" t="s">
        <v>980</v>
      </c>
      <c r="P20" t="s">
        <v>1336</v>
      </c>
      <c r="Q20">
        <v>92597</v>
      </c>
      <c r="R20" t="s">
        <v>981</v>
      </c>
      <c r="S20" t="s">
        <v>1336</v>
      </c>
      <c r="T20">
        <v>350868</v>
      </c>
      <c r="U20" t="s">
        <v>1362</v>
      </c>
      <c r="V20" t="s">
        <v>1335</v>
      </c>
      <c r="W20">
        <v>92598</v>
      </c>
      <c r="X20" t="s">
        <v>982</v>
      </c>
      <c r="Y20" t="s">
        <v>1336</v>
      </c>
      <c r="Z20">
        <v>92599</v>
      </c>
      <c r="AA20" t="s">
        <v>983</v>
      </c>
      <c r="AB20" t="s">
        <v>1336</v>
      </c>
      <c r="AC20" t="s">
        <v>1124</v>
      </c>
      <c r="AE20">
        <f t="shared" si="0"/>
        <v>315856</v>
      </c>
      <c r="AF20">
        <f t="shared" si="1"/>
        <v>92596</v>
      </c>
      <c r="AG20">
        <f t="shared" si="2"/>
        <v>92597</v>
      </c>
      <c r="AH20">
        <f t="shared" si="3"/>
        <v>350868</v>
      </c>
      <c r="AI20">
        <f t="shared" si="4"/>
        <v>92598</v>
      </c>
      <c r="AJ20">
        <f t="shared" si="5"/>
        <v>92599</v>
      </c>
    </row>
    <row r="21" spans="1:36">
      <c r="A21" t="s">
        <v>1405</v>
      </c>
      <c r="B21" t="s">
        <v>85</v>
      </c>
      <c r="C21">
        <v>350839</v>
      </c>
      <c r="D21" s="101" t="s">
        <v>3377</v>
      </c>
      <c r="E21" s="11" t="e">
        <f>VLOOKUP(C:C,#REF!,1,FALSE)</f>
        <v>#REF!</v>
      </c>
      <c r="F21" t="s">
        <v>1336</v>
      </c>
      <c r="G21">
        <v>0</v>
      </c>
      <c r="H21">
        <v>0</v>
      </c>
      <c r="I21" t="s">
        <v>1124</v>
      </c>
      <c r="J21">
        <v>1</v>
      </c>
      <c r="K21">
        <v>315856</v>
      </c>
      <c r="L21" t="s">
        <v>1361</v>
      </c>
      <c r="M21" t="s">
        <v>1336</v>
      </c>
      <c r="N21">
        <v>92596</v>
      </c>
      <c r="O21" t="s">
        <v>980</v>
      </c>
      <c r="P21" t="s">
        <v>1336</v>
      </c>
      <c r="Q21">
        <v>92597</v>
      </c>
      <c r="R21" t="s">
        <v>981</v>
      </c>
      <c r="S21" t="s">
        <v>1336</v>
      </c>
      <c r="T21">
        <v>350868</v>
      </c>
      <c r="U21" t="s">
        <v>1362</v>
      </c>
      <c r="V21" t="s">
        <v>1335</v>
      </c>
      <c r="W21">
        <v>92598</v>
      </c>
      <c r="X21" t="s">
        <v>982</v>
      </c>
      <c r="Y21" t="s">
        <v>1336</v>
      </c>
      <c r="Z21">
        <v>92599</v>
      </c>
      <c r="AA21" t="s">
        <v>983</v>
      </c>
      <c r="AB21" t="s">
        <v>1336</v>
      </c>
      <c r="AC21" t="s">
        <v>1124</v>
      </c>
      <c r="AE21">
        <f t="shared" si="0"/>
        <v>315856</v>
      </c>
      <c r="AF21">
        <f t="shared" si="1"/>
        <v>92596</v>
      </c>
      <c r="AG21">
        <f t="shared" si="2"/>
        <v>92597</v>
      </c>
      <c r="AH21">
        <f t="shared" si="3"/>
        <v>350868</v>
      </c>
      <c r="AI21">
        <f t="shared" si="4"/>
        <v>92598</v>
      </c>
      <c r="AJ21">
        <f t="shared" si="5"/>
        <v>92599</v>
      </c>
    </row>
    <row r="22" spans="1:36">
      <c r="A22" t="s">
        <v>1359</v>
      </c>
      <c r="B22" t="s">
        <v>85</v>
      </c>
      <c r="C22">
        <v>350854</v>
      </c>
      <c r="D22" s="101" t="s">
        <v>3378</v>
      </c>
      <c r="E22" s="11" t="e">
        <f>VLOOKUP(C:C,#REF!,1,FALSE)</f>
        <v>#REF!</v>
      </c>
      <c r="F22" t="s">
        <v>1337</v>
      </c>
      <c r="G22">
        <v>0</v>
      </c>
      <c r="H22">
        <v>1</v>
      </c>
      <c r="I22" t="s">
        <v>1125</v>
      </c>
      <c r="J22">
        <v>0</v>
      </c>
      <c r="K22">
        <v>315856</v>
      </c>
      <c r="L22" t="s">
        <v>1361</v>
      </c>
      <c r="M22" t="s">
        <v>1336</v>
      </c>
      <c r="N22">
        <v>92596</v>
      </c>
      <c r="O22" t="s">
        <v>980</v>
      </c>
      <c r="P22" t="s">
        <v>1336</v>
      </c>
      <c r="Q22">
        <v>92597</v>
      </c>
      <c r="R22" t="s">
        <v>981</v>
      </c>
      <c r="S22" t="s">
        <v>1336</v>
      </c>
      <c r="T22">
        <v>350868</v>
      </c>
      <c r="U22" t="s">
        <v>1362</v>
      </c>
      <c r="V22" t="s">
        <v>1335</v>
      </c>
      <c r="W22">
        <v>92598</v>
      </c>
      <c r="X22" t="s">
        <v>982</v>
      </c>
      <c r="Y22" t="s">
        <v>1336</v>
      </c>
      <c r="Z22">
        <v>92599</v>
      </c>
      <c r="AA22" t="s">
        <v>983</v>
      </c>
      <c r="AB22" t="s">
        <v>1336</v>
      </c>
      <c r="AC22" t="s">
        <v>1125</v>
      </c>
      <c r="AE22">
        <f t="shared" si="0"/>
        <v>315856</v>
      </c>
      <c r="AF22">
        <f t="shared" si="1"/>
        <v>92596</v>
      </c>
      <c r="AG22">
        <f t="shared" si="2"/>
        <v>92597</v>
      </c>
      <c r="AH22">
        <f t="shared" si="3"/>
        <v>350868</v>
      </c>
      <c r="AI22">
        <f t="shared" si="4"/>
        <v>92598</v>
      </c>
      <c r="AJ22">
        <f t="shared" si="5"/>
        <v>92599</v>
      </c>
    </row>
    <row r="23" spans="1:36">
      <c r="A23" t="s">
        <v>1405</v>
      </c>
      <c r="B23" t="s">
        <v>85</v>
      </c>
      <c r="C23">
        <v>350856</v>
      </c>
      <c r="D23" s="101" t="s">
        <v>3379</v>
      </c>
      <c r="E23" s="11" t="e">
        <f>VLOOKUP(C:C,#REF!,1,FALSE)</f>
        <v>#REF!</v>
      </c>
      <c r="F23" t="s">
        <v>1337</v>
      </c>
      <c r="G23">
        <v>0</v>
      </c>
      <c r="H23">
        <v>0</v>
      </c>
      <c r="I23" t="s">
        <v>1125</v>
      </c>
      <c r="J23">
        <v>1</v>
      </c>
      <c r="K23">
        <v>315856</v>
      </c>
      <c r="L23" t="s">
        <v>1361</v>
      </c>
      <c r="M23" t="s">
        <v>1336</v>
      </c>
      <c r="N23">
        <v>92596</v>
      </c>
      <c r="O23" t="s">
        <v>980</v>
      </c>
      <c r="P23" t="s">
        <v>1336</v>
      </c>
      <c r="Q23">
        <v>92597</v>
      </c>
      <c r="R23" t="s">
        <v>981</v>
      </c>
      <c r="S23" t="s">
        <v>1336</v>
      </c>
      <c r="T23">
        <v>350868</v>
      </c>
      <c r="U23" t="s">
        <v>1362</v>
      </c>
      <c r="V23" t="s">
        <v>1335</v>
      </c>
      <c r="W23">
        <v>92598</v>
      </c>
      <c r="X23" t="s">
        <v>982</v>
      </c>
      <c r="Y23" t="s">
        <v>1336</v>
      </c>
      <c r="Z23">
        <v>92599</v>
      </c>
      <c r="AA23" t="s">
        <v>983</v>
      </c>
      <c r="AB23" t="s">
        <v>1336</v>
      </c>
      <c r="AC23" t="s">
        <v>1125</v>
      </c>
      <c r="AE23">
        <f t="shared" si="0"/>
        <v>315856</v>
      </c>
      <c r="AF23">
        <f t="shared" si="1"/>
        <v>92596</v>
      </c>
      <c r="AG23">
        <f t="shared" si="2"/>
        <v>92597</v>
      </c>
      <c r="AH23">
        <f t="shared" si="3"/>
        <v>350868</v>
      </c>
      <c r="AI23">
        <f t="shared" si="4"/>
        <v>92598</v>
      </c>
      <c r="AJ23">
        <f t="shared" si="5"/>
        <v>92599</v>
      </c>
    </row>
    <row r="24" spans="1:36">
      <c r="A24" t="s">
        <v>989</v>
      </c>
      <c r="B24" t="s">
        <v>989</v>
      </c>
      <c r="C24">
        <v>308058</v>
      </c>
      <c r="D24" s="11" t="s">
        <v>1370</v>
      </c>
      <c r="E24" s="11" t="e">
        <f>VLOOKUP(C:C,#REF!,1,FALSE)</f>
        <v>#REF!</v>
      </c>
      <c r="F24" t="s">
        <v>1335</v>
      </c>
      <c r="G24">
        <v>0</v>
      </c>
      <c r="H24">
        <v>1</v>
      </c>
      <c r="I24" t="s">
        <v>1122</v>
      </c>
      <c r="J24">
        <v>0</v>
      </c>
      <c r="K24">
        <v>106403</v>
      </c>
      <c r="L24" t="s">
        <v>1371</v>
      </c>
      <c r="M24" t="s">
        <v>1335</v>
      </c>
      <c r="N24">
        <v>119240</v>
      </c>
      <c r="O24" t="s">
        <v>1372</v>
      </c>
      <c r="P24" t="s">
        <v>1335</v>
      </c>
      <c r="Q24">
        <v>136276</v>
      </c>
      <c r="R24" t="s">
        <v>1373</v>
      </c>
      <c r="S24" t="s">
        <v>1335</v>
      </c>
      <c r="T24">
        <v>0</v>
      </c>
      <c r="U24">
        <v>0</v>
      </c>
      <c r="V24" t="e">
        <v>#N/A</v>
      </c>
      <c r="W24">
        <v>0</v>
      </c>
      <c r="X24">
        <v>0</v>
      </c>
      <c r="Y24" t="e">
        <v>#N/A</v>
      </c>
      <c r="Z24">
        <v>0</v>
      </c>
      <c r="AA24">
        <v>0</v>
      </c>
      <c r="AB24" t="e">
        <v>#N/A</v>
      </c>
      <c r="AC24" t="s">
        <v>1122</v>
      </c>
      <c r="AE24">
        <f t="shared" si="0"/>
        <v>106403</v>
      </c>
      <c r="AF24">
        <f t="shared" si="1"/>
        <v>119240</v>
      </c>
      <c r="AG24">
        <f t="shared" si="2"/>
        <v>136276</v>
      </c>
      <c r="AH24">
        <f t="shared" si="3"/>
        <v>0</v>
      </c>
      <c r="AI24">
        <f t="shared" si="4"/>
        <v>0</v>
      </c>
      <c r="AJ24">
        <f t="shared" si="5"/>
        <v>0</v>
      </c>
    </row>
    <row r="25" spans="1:36">
      <c r="A25" t="s">
        <v>989</v>
      </c>
      <c r="B25" t="s">
        <v>989</v>
      </c>
      <c r="C25">
        <v>308454</v>
      </c>
      <c r="D25" s="11" t="s">
        <v>1374</v>
      </c>
      <c r="E25" s="11" t="e">
        <f>VLOOKUP(C:C,#REF!,1,FALSE)</f>
        <v>#REF!</v>
      </c>
      <c r="F25" t="s">
        <v>1335</v>
      </c>
      <c r="G25">
        <v>0</v>
      </c>
      <c r="H25">
        <v>1</v>
      </c>
      <c r="I25" t="s">
        <v>1123</v>
      </c>
      <c r="J25">
        <v>0</v>
      </c>
      <c r="K25">
        <v>106403</v>
      </c>
      <c r="L25" t="s">
        <v>1371</v>
      </c>
      <c r="M25" t="s">
        <v>1335</v>
      </c>
      <c r="N25">
        <v>119240</v>
      </c>
      <c r="O25" t="s">
        <v>1372</v>
      </c>
      <c r="P25" t="s">
        <v>1335</v>
      </c>
      <c r="Q25">
        <v>136276</v>
      </c>
      <c r="R25" t="s">
        <v>1373</v>
      </c>
      <c r="S25" t="s">
        <v>1335</v>
      </c>
      <c r="T25">
        <v>0</v>
      </c>
      <c r="U25">
        <v>0</v>
      </c>
      <c r="V25" t="e">
        <v>#N/A</v>
      </c>
      <c r="W25">
        <v>0</v>
      </c>
      <c r="X25">
        <v>0</v>
      </c>
      <c r="Y25" t="e">
        <v>#N/A</v>
      </c>
      <c r="Z25">
        <v>0</v>
      </c>
      <c r="AA25">
        <v>0</v>
      </c>
      <c r="AB25" t="e">
        <v>#N/A</v>
      </c>
      <c r="AC25" t="s">
        <v>1123</v>
      </c>
      <c r="AE25">
        <f t="shared" si="0"/>
        <v>106403</v>
      </c>
      <c r="AF25">
        <f t="shared" si="1"/>
        <v>119240</v>
      </c>
      <c r="AG25">
        <f t="shared" si="2"/>
        <v>136276</v>
      </c>
      <c r="AH25">
        <f t="shared" si="3"/>
        <v>0</v>
      </c>
      <c r="AI25">
        <f t="shared" si="4"/>
        <v>0</v>
      </c>
      <c r="AJ25">
        <f t="shared" si="5"/>
        <v>0</v>
      </c>
    </row>
    <row r="26" spans="1:36">
      <c r="A26" t="s">
        <v>989</v>
      </c>
      <c r="B26" t="s">
        <v>989</v>
      </c>
      <c r="C26">
        <v>308455</v>
      </c>
      <c r="D26" s="11" t="s">
        <v>1375</v>
      </c>
      <c r="E26" s="11" t="e">
        <f>VLOOKUP(C:C,#REF!,1,FALSE)</f>
        <v>#REF!</v>
      </c>
      <c r="F26" t="s">
        <v>1335</v>
      </c>
      <c r="G26">
        <v>0</v>
      </c>
      <c r="H26">
        <v>1</v>
      </c>
      <c r="I26" t="s">
        <v>1124</v>
      </c>
      <c r="J26">
        <v>0</v>
      </c>
      <c r="K26">
        <v>106403</v>
      </c>
      <c r="L26" t="s">
        <v>1371</v>
      </c>
      <c r="M26" t="s">
        <v>1335</v>
      </c>
      <c r="N26">
        <v>119240</v>
      </c>
      <c r="O26" t="s">
        <v>1372</v>
      </c>
      <c r="P26" t="s">
        <v>1335</v>
      </c>
      <c r="Q26">
        <v>136276</v>
      </c>
      <c r="R26" t="s">
        <v>1373</v>
      </c>
      <c r="S26" t="s">
        <v>1335</v>
      </c>
      <c r="T26">
        <v>0</v>
      </c>
      <c r="U26">
        <v>0</v>
      </c>
      <c r="V26" t="e">
        <v>#N/A</v>
      </c>
      <c r="W26">
        <v>0</v>
      </c>
      <c r="X26">
        <v>0</v>
      </c>
      <c r="Y26" t="e">
        <v>#N/A</v>
      </c>
      <c r="Z26">
        <v>0</v>
      </c>
      <c r="AA26">
        <v>0</v>
      </c>
      <c r="AB26" t="e">
        <v>#N/A</v>
      </c>
      <c r="AC26" t="s">
        <v>1124</v>
      </c>
      <c r="AE26">
        <f t="shared" si="0"/>
        <v>106403</v>
      </c>
      <c r="AF26">
        <f t="shared" si="1"/>
        <v>119240</v>
      </c>
      <c r="AG26">
        <f t="shared" si="2"/>
        <v>136276</v>
      </c>
      <c r="AH26">
        <f t="shared" si="3"/>
        <v>0</v>
      </c>
      <c r="AI26">
        <f t="shared" si="4"/>
        <v>0</v>
      </c>
      <c r="AJ26">
        <f t="shared" si="5"/>
        <v>0</v>
      </c>
    </row>
    <row r="27" spans="1:36">
      <c r="A27" t="s">
        <v>989</v>
      </c>
      <c r="B27" t="s">
        <v>989</v>
      </c>
      <c r="C27">
        <v>336503</v>
      </c>
      <c r="D27" s="11" t="s">
        <v>1376</v>
      </c>
      <c r="E27" s="11" t="e">
        <f>VLOOKUP(C:C,#REF!,1,FALSE)</f>
        <v>#REF!</v>
      </c>
      <c r="F27" t="s">
        <v>1335</v>
      </c>
      <c r="G27">
        <v>0</v>
      </c>
      <c r="H27">
        <v>1</v>
      </c>
      <c r="I27" t="s">
        <v>1122</v>
      </c>
      <c r="J27">
        <v>0</v>
      </c>
      <c r="K27">
        <v>106403</v>
      </c>
      <c r="L27" t="s">
        <v>1371</v>
      </c>
      <c r="M27" t="s">
        <v>1335</v>
      </c>
      <c r="N27">
        <v>119240</v>
      </c>
      <c r="O27" t="s">
        <v>1372</v>
      </c>
      <c r="P27" t="s">
        <v>1335</v>
      </c>
      <c r="Q27">
        <v>136276</v>
      </c>
      <c r="R27" t="s">
        <v>1373</v>
      </c>
      <c r="S27" t="s">
        <v>1335</v>
      </c>
      <c r="T27">
        <v>0</v>
      </c>
      <c r="U27">
        <v>0</v>
      </c>
      <c r="V27" t="e">
        <v>#N/A</v>
      </c>
      <c r="W27">
        <v>0</v>
      </c>
      <c r="X27">
        <v>0</v>
      </c>
      <c r="Y27" t="e">
        <v>#N/A</v>
      </c>
      <c r="Z27">
        <v>0</v>
      </c>
      <c r="AA27">
        <v>0</v>
      </c>
      <c r="AB27" t="e">
        <v>#N/A</v>
      </c>
      <c r="AC27" t="s">
        <v>1126</v>
      </c>
      <c r="AE27">
        <f t="shared" si="0"/>
        <v>106403</v>
      </c>
      <c r="AF27">
        <f t="shared" si="1"/>
        <v>119240</v>
      </c>
      <c r="AG27">
        <f t="shared" si="2"/>
        <v>136276</v>
      </c>
      <c r="AH27">
        <f t="shared" si="3"/>
        <v>0</v>
      </c>
      <c r="AI27">
        <f t="shared" si="4"/>
        <v>0</v>
      </c>
      <c r="AJ27">
        <f t="shared" si="5"/>
        <v>0</v>
      </c>
    </row>
    <row r="28" spans="1:36">
      <c r="A28" t="s">
        <v>989</v>
      </c>
      <c r="B28" t="s">
        <v>989</v>
      </c>
      <c r="C28">
        <v>336506</v>
      </c>
      <c r="D28" s="102" t="s">
        <v>1377</v>
      </c>
      <c r="E28" s="11" t="e">
        <f>VLOOKUP(C:C,#REF!,1,FALSE)</f>
        <v>#REF!</v>
      </c>
      <c r="F28" t="s">
        <v>1335</v>
      </c>
      <c r="G28">
        <v>0</v>
      </c>
      <c r="H28">
        <v>1</v>
      </c>
      <c r="I28" t="s">
        <v>1123</v>
      </c>
      <c r="J28">
        <v>0</v>
      </c>
      <c r="K28">
        <v>106403</v>
      </c>
      <c r="L28" t="s">
        <v>1371</v>
      </c>
      <c r="M28" t="s">
        <v>1335</v>
      </c>
      <c r="N28">
        <v>119240</v>
      </c>
      <c r="O28" t="s">
        <v>1372</v>
      </c>
      <c r="P28" t="s">
        <v>1335</v>
      </c>
      <c r="Q28">
        <v>136276</v>
      </c>
      <c r="R28" t="s">
        <v>1373</v>
      </c>
      <c r="S28" t="s">
        <v>1335</v>
      </c>
      <c r="T28">
        <v>0</v>
      </c>
      <c r="U28">
        <v>0</v>
      </c>
      <c r="V28" t="e">
        <v>#N/A</v>
      </c>
      <c r="W28">
        <v>0</v>
      </c>
      <c r="X28">
        <v>0</v>
      </c>
      <c r="Y28" t="e">
        <v>#N/A</v>
      </c>
      <c r="Z28">
        <v>0</v>
      </c>
      <c r="AA28">
        <v>0</v>
      </c>
      <c r="AB28" t="e">
        <v>#N/A</v>
      </c>
      <c r="AC28" t="s">
        <v>1122</v>
      </c>
      <c r="AE28">
        <f t="shared" si="0"/>
        <v>106403</v>
      </c>
      <c r="AF28">
        <f t="shared" si="1"/>
        <v>119240</v>
      </c>
      <c r="AG28">
        <f t="shared" si="2"/>
        <v>136276</v>
      </c>
      <c r="AH28">
        <f t="shared" si="3"/>
        <v>0</v>
      </c>
      <c r="AI28">
        <f t="shared" si="4"/>
        <v>0</v>
      </c>
      <c r="AJ28">
        <f t="shared" si="5"/>
        <v>0</v>
      </c>
    </row>
    <row r="29" spans="1:36">
      <c r="A29" t="s">
        <v>989</v>
      </c>
      <c r="B29" t="s">
        <v>989</v>
      </c>
      <c r="C29">
        <v>346823</v>
      </c>
      <c r="D29" s="102" t="s">
        <v>1378</v>
      </c>
      <c r="E29" s="11" t="e">
        <f>VLOOKUP(C:C,#REF!,1,FALSE)</f>
        <v>#REF!</v>
      </c>
      <c r="F29" t="s">
        <v>1335</v>
      </c>
      <c r="G29">
        <v>0</v>
      </c>
      <c r="H29">
        <v>0</v>
      </c>
      <c r="I29" t="s">
        <v>1124</v>
      </c>
      <c r="J29">
        <v>1</v>
      </c>
      <c r="K29">
        <v>106403</v>
      </c>
      <c r="L29" t="s">
        <v>1371</v>
      </c>
      <c r="M29" t="s">
        <v>1335</v>
      </c>
      <c r="N29">
        <v>119240</v>
      </c>
      <c r="O29" t="s">
        <v>1372</v>
      </c>
      <c r="P29" t="s">
        <v>1335</v>
      </c>
      <c r="Q29">
        <v>136276</v>
      </c>
      <c r="R29" t="s">
        <v>1373</v>
      </c>
      <c r="S29" t="s">
        <v>1335</v>
      </c>
      <c r="T29">
        <v>0</v>
      </c>
      <c r="U29">
        <v>0</v>
      </c>
      <c r="V29" t="e">
        <v>#N/A</v>
      </c>
      <c r="W29">
        <v>0</v>
      </c>
      <c r="X29">
        <v>0</v>
      </c>
      <c r="Y29" t="e">
        <v>#N/A</v>
      </c>
      <c r="Z29">
        <v>0</v>
      </c>
      <c r="AA29">
        <v>0</v>
      </c>
      <c r="AB29" t="e">
        <v>#N/A</v>
      </c>
      <c r="AC29" t="s">
        <v>1122</v>
      </c>
      <c r="AE29">
        <f t="shared" si="0"/>
        <v>106403</v>
      </c>
      <c r="AF29">
        <f t="shared" si="1"/>
        <v>119240</v>
      </c>
      <c r="AG29">
        <f t="shared" si="2"/>
        <v>136276</v>
      </c>
      <c r="AH29">
        <f t="shared" si="3"/>
        <v>0</v>
      </c>
      <c r="AI29">
        <f t="shared" si="4"/>
        <v>0</v>
      </c>
      <c r="AJ29">
        <f t="shared" si="5"/>
        <v>0</v>
      </c>
    </row>
    <row r="30" spans="1:36">
      <c r="A30" t="s">
        <v>989</v>
      </c>
      <c r="B30" t="s">
        <v>989</v>
      </c>
      <c r="C30">
        <v>300279</v>
      </c>
      <c r="D30" s="102" t="s">
        <v>1379</v>
      </c>
      <c r="E30" s="11" t="e">
        <f>VLOOKUP(C:C,#REF!,1,FALSE)</f>
        <v>#REF!</v>
      </c>
      <c r="F30" t="s">
        <v>1335</v>
      </c>
      <c r="G30">
        <v>0</v>
      </c>
      <c r="H30">
        <v>1</v>
      </c>
      <c r="I30" t="s">
        <v>1122</v>
      </c>
      <c r="J30">
        <v>0</v>
      </c>
      <c r="K30">
        <v>106403</v>
      </c>
      <c r="L30" t="s">
        <v>1371</v>
      </c>
      <c r="M30" t="s">
        <v>1335</v>
      </c>
      <c r="N30">
        <v>119240</v>
      </c>
      <c r="O30" t="s">
        <v>1372</v>
      </c>
      <c r="P30" t="s">
        <v>1335</v>
      </c>
      <c r="Q30">
        <v>136276</v>
      </c>
      <c r="R30" t="s">
        <v>1373</v>
      </c>
      <c r="S30" t="s">
        <v>1335</v>
      </c>
      <c r="T30">
        <v>0</v>
      </c>
      <c r="U30">
        <v>0</v>
      </c>
      <c r="V30" t="e">
        <v>#N/A</v>
      </c>
      <c r="W30">
        <v>0</v>
      </c>
      <c r="X30">
        <v>0</v>
      </c>
      <c r="Y30" t="e">
        <v>#N/A</v>
      </c>
      <c r="Z30">
        <v>0</v>
      </c>
      <c r="AA30">
        <v>0</v>
      </c>
      <c r="AB30" t="e">
        <v>#N/A</v>
      </c>
      <c r="AC30" t="s">
        <v>1122</v>
      </c>
      <c r="AE30">
        <f t="shared" si="0"/>
        <v>106403</v>
      </c>
      <c r="AF30">
        <f t="shared" si="1"/>
        <v>119240</v>
      </c>
      <c r="AG30">
        <f t="shared" si="2"/>
        <v>136276</v>
      </c>
      <c r="AH30">
        <f t="shared" si="3"/>
        <v>0</v>
      </c>
      <c r="AI30">
        <f t="shared" si="4"/>
        <v>0</v>
      </c>
      <c r="AJ30">
        <f t="shared" si="5"/>
        <v>0</v>
      </c>
    </row>
    <row r="31" spans="1:36">
      <c r="A31" t="s">
        <v>989</v>
      </c>
      <c r="B31" t="s">
        <v>989</v>
      </c>
      <c r="C31">
        <v>300285</v>
      </c>
      <c r="D31" s="102" t="s">
        <v>1380</v>
      </c>
      <c r="E31" s="11" t="e">
        <f>VLOOKUP(C:C,#REF!,1,FALSE)</f>
        <v>#REF!</v>
      </c>
      <c r="F31" t="s">
        <v>1335</v>
      </c>
      <c r="G31">
        <v>1</v>
      </c>
      <c r="H31">
        <v>0</v>
      </c>
      <c r="I31" t="s">
        <v>1122</v>
      </c>
      <c r="J31">
        <v>1</v>
      </c>
      <c r="K31">
        <v>106403</v>
      </c>
      <c r="L31" t="s">
        <v>1371</v>
      </c>
      <c r="M31" t="s">
        <v>1335</v>
      </c>
      <c r="N31">
        <v>119240</v>
      </c>
      <c r="O31" t="s">
        <v>1372</v>
      </c>
      <c r="P31" t="s">
        <v>1335</v>
      </c>
      <c r="Q31">
        <v>136276</v>
      </c>
      <c r="R31" t="s">
        <v>1373</v>
      </c>
      <c r="S31" t="s">
        <v>1335</v>
      </c>
      <c r="T31">
        <v>0</v>
      </c>
      <c r="U31">
        <v>0</v>
      </c>
      <c r="V31" t="e">
        <v>#N/A</v>
      </c>
      <c r="W31">
        <v>0</v>
      </c>
      <c r="X31">
        <v>0</v>
      </c>
      <c r="Y31" t="e">
        <v>#N/A</v>
      </c>
      <c r="Z31">
        <v>0</v>
      </c>
      <c r="AA31">
        <v>0</v>
      </c>
      <c r="AB31" t="e">
        <v>#N/A</v>
      </c>
      <c r="AC31" t="s">
        <v>1124</v>
      </c>
      <c r="AE31">
        <f t="shared" si="0"/>
        <v>106403</v>
      </c>
      <c r="AF31">
        <f t="shared" si="1"/>
        <v>119240</v>
      </c>
      <c r="AG31">
        <f t="shared" si="2"/>
        <v>136276</v>
      </c>
      <c r="AH31">
        <f t="shared" si="3"/>
        <v>0</v>
      </c>
      <c r="AI31">
        <f t="shared" si="4"/>
        <v>0</v>
      </c>
      <c r="AJ31">
        <f t="shared" si="5"/>
        <v>0</v>
      </c>
    </row>
    <row r="32" spans="1:36">
      <c r="A32" t="s">
        <v>2</v>
      </c>
      <c r="B32" t="s">
        <v>2</v>
      </c>
      <c r="C32">
        <v>12002</v>
      </c>
      <c r="D32" s="102" t="s">
        <v>1381</v>
      </c>
      <c r="E32" s="11" t="e">
        <f>VLOOKUP(C:C,#REF!,1,FALSE)</f>
        <v>#REF!</v>
      </c>
      <c r="F32" t="s">
        <v>1336</v>
      </c>
      <c r="G32">
        <v>0</v>
      </c>
      <c r="H32">
        <v>0</v>
      </c>
      <c r="I32" t="s">
        <v>1122</v>
      </c>
      <c r="J32">
        <v>0</v>
      </c>
      <c r="K32">
        <v>12306</v>
      </c>
      <c r="L32" t="s">
        <v>978</v>
      </c>
      <c r="M32" t="s">
        <v>1336</v>
      </c>
      <c r="N32">
        <v>12318</v>
      </c>
      <c r="O32" t="s">
        <v>979</v>
      </c>
      <c r="P32" t="s">
        <v>1336</v>
      </c>
      <c r="Q32">
        <v>0</v>
      </c>
      <c r="R32" t="e">
        <v>#N/A</v>
      </c>
      <c r="S32" t="e">
        <v>#N/A</v>
      </c>
      <c r="T32">
        <v>0</v>
      </c>
      <c r="U32">
        <v>0</v>
      </c>
      <c r="V32" t="e">
        <v>#N/A</v>
      </c>
      <c r="W32">
        <v>0</v>
      </c>
      <c r="X32">
        <v>0</v>
      </c>
      <c r="Y32" t="e">
        <v>#N/A</v>
      </c>
      <c r="Z32">
        <v>0</v>
      </c>
      <c r="AA32">
        <v>0</v>
      </c>
      <c r="AB32" t="e">
        <v>#N/A</v>
      </c>
      <c r="AC32" t="s">
        <v>1122</v>
      </c>
      <c r="AE32">
        <f t="shared" si="0"/>
        <v>12306</v>
      </c>
      <c r="AF32">
        <f t="shared" si="1"/>
        <v>12318</v>
      </c>
      <c r="AG32">
        <f t="shared" si="2"/>
        <v>0</v>
      </c>
      <c r="AH32">
        <f t="shared" si="3"/>
        <v>0</v>
      </c>
      <c r="AI32">
        <f t="shared" si="4"/>
        <v>0</v>
      </c>
      <c r="AJ32">
        <f t="shared" si="5"/>
        <v>0</v>
      </c>
    </row>
    <row r="33" spans="1:36">
      <c r="A33" t="s">
        <v>2</v>
      </c>
      <c r="B33" t="s">
        <v>2</v>
      </c>
      <c r="C33">
        <v>12005</v>
      </c>
      <c r="D33" s="102" t="s">
        <v>1382</v>
      </c>
      <c r="E33" s="11" t="e">
        <f>VLOOKUP(C:C,#REF!,1,FALSE)</f>
        <v>#REF!</v>
      </c>
      <c r="F33" t="s">
        <v>1336</v>
      </c>
      <c r="G33">
        <v>0</v>
      </c>
      <c r="H33">
        <v>0</v>
      </c>
      <c r="I33" t="s">
        <v>1122</v>
      </c>
      <c r="J33">
        <v>0</v>
      </c>
      <c r="K33">
        <v>12306</v>
      </c>
      <c r="L33" t="s">
        <v>978</v>
      </c>
      <c r="M33" t="s">
        <v>1336</v>
      </c>
      <c r="N33">
        <v>12318</v>
      </c>
      <c r="O33" t="s">
        <v>979</v>
      </c>
      <c r="P33" t="s">
        <v>1336</v>
      </c>
      <c r="Q33">
        <v>0</v>
      </c>
      <c r="R33" t="e">
        <v>#N/A</v>
      </c>
      <c r="S33" t="e">
        <v>#N/A</v>
      </c>
      <c r="T33">
        <v>0</v>
      </c>
      <c r="U33">
        <v>0</v>
      </c>
      <c r="V33" t="e">
        <v>#N/A</v>
      </c>
      <c r="W33">
        <v>0</v>
      </c>
      <c r="X33">
        <v>0</v>
      </c>
      <c r="Y33" t="e">
        <v>#N/A</v>
      </c>
      <c r="Z33">
        <v>0</v>
      </c>
      <c r="AA33">
        <v>0</v>
      </c>
      <c r="AB33" t="e">
        <v>#N/A</v>
      </c>
      <c r="AC33" t="s">
        <v>1123</v>
      </c>
      <c r="AE33">
        <f t="shared" si="0"/>
        <v>12306</v>
      </c>
      <c r="AF33">
        <f t="shared" si="1"/>
        <v>12318</v>
      </c>
      <c r="AG33">
        <f t="shared" si="2"/>
        <v>0</v>
      </c>
      <c r="AH33">
        <f t="shared" si="3"/>
        <v>0</v>
      </c>
      <c r="AI33">
        <f t="shared" si="4"/>
        <v>0</v>
      </c>
      <c r="AJ33">
        <f t="shared" si="5"/>
        <v>0</v>
      </c>
    </row>
    <row r="34" spans="1:36">
      <c r="A34" t="s">
        <v>2</v>
      </c>
      <c r="B34" t="s">
        <v>2</v>
      </c>
      <c r="C34">
        <v>12008</v>
      </c>
      <c r="D34" s="103" t="s">
        <v>1383</v>
      </c>
      <c r="E34" s="11" t="e">
        <f>VLOOKUP(C:C,#REF!,1,FALSE)</f>
        <v>#REF!</v>
      </c>
      <c r="F34" t="s">
        <v>1336</v>
      </c>
      <c r="G34">
        <v>0</v>
      </c>
      <c r="H34">
        <v>0</v>
      </c>
      <c r="I34" t="s">
        <v>1124</v>
      </c>
      <c r="J34">
        <v>0</v>
      </c>
      <c r="K34">
        <v>12306</v>
      </c>
      <c r="L34" t="s">
        <v>978</v>
      </c>
      <c r="M34" t="s">
        <v>1336</v>
      </c>
      <c r="N34">
        <v>12318</v>
      </c>
      <c r="O34" t="s">
        <v>979</v>
      </c>
      <c r="P34" t="s">
        <v>1336</v>
      </c>
      <c r="Q34">
        <v>0</v>
      </c>
      <c r="R34" t="e">
        <v>#N/A</v>
      </c>
      <c r="S34" t="e">
        <v>#N/A</v>
      </c>
      <c r="T34">
        <v>0</v>
      </c>
      <c r="U34">
        <v>0</v>
      </c>
      <c r="V34" t="e">
        <v>#N/A</v>
      </c>
      <c r="W34">
        <v>0</v>
      </c>
      <c r="X34">
        <v>0</v>
      </c>
      <c r="Y34" t="e">
        <v>#N/A</v>
      </c>
      <c r="Z34">
        <v>0</v>
      </c>
      <c r="AA34">
        <v>0</v>
      </c>
      <c r="AB34" t="e">
        <v>#N/A</v>
      </c>
      <c r="AC34" t="s">
        <v>1124</v>
      </c>
      <c r="AE34">
        <f t="shared" si="0"/>
        <v>12306</v>
      </c>
      <c r="AF34">
        <f t="shared" si="1"/>
        <v>12318</v>
      </c>
      <c r="AG34">
        <f t="shared" si="2"/>
        <v>0</v>
      </c>
      <c r="AH34">
        <f t="shared" si="3"/>
        <v>0</v>
      </c>
      <c r="AI34">
        <f t="shared" si="4"/>
        <v>0</v>
      </c>
      <c r="AJ34">
        <f t="shared" si="5"/>
        <v>0</v>
      </c>
    </row>
    <row r="35" spans="1:36">
      <c r="A35" t="s">
        <v>2</v>
      </c>
      <c r="B35" t="s">
        <v>2</v>
      </c>
      <c r="C35">
        <v>12047</v>
      </c>
      <c r="D35" s="103" t="s">
        <v>1384</v>
      </c>
      <c r="E35" s="11" t="e">
        <f>VLOOKUP(C:C,#REF!,1,FALSE)</f>
        <v>#REF!</v>
      </c>
      <c r="F35" t="s">
        <v>1336</v>
      </c>
      <c r="G35">
        <v>0</v>
      </c>
      <c r="H35">
        <v>1</v>
      </c>
      <c r="I35" t="s">
        <v>1122</v>
      </c>
      <c r="J35">
        <v>0</v>
      </c>
      <c r="K35">
        <v>12306</v>
      </c>
      <c r="L35" t="s">
        <v>978</v>
      </c>
      <c r="M35" t="s">
        <v>1336</v>
      </c>
      <c r="N35">
        <v>12318</v>
      </c>
      <c r="O35" t="s">
        <v>979</v>
      </c>
      <c r="P35" t="s">
        <v>1336</v>
      </c>
      <c r="Q35">
        <v>0</v>
      </c>
      <c r="R35" t="e">
        <v>#N/A</v>
      </c>
      <c r="S35" t="e">
        <v>#N/A</v>
      </c>
      <c r="T35">
        <v>0</v>
      </c>
      <c r="U35">
        <v>0</v>
      </c>
      <c r="V35" t="e">
        <v>#N/A</v>
      </c>
      <c r="W35">
        <v>0</v>
      </c>
      <c r="X35">
        <v>0</v>
      </c>
      <c r="Y35" t="e">
        <v>#N/A</v>
      </c>
      <c r="Z35">
        <v>0</v>
      </c>
      <c r="AA35">
        <v>0</v>
      </c>
      <c r="AB35" t="e">
        <v>#N/A</v>
      </c>
      <c r="AC35" t="s">
        <v>1122</v>
      </c>
      <c r="AE35">
        <f t="shared" si="0"/>
        <v>12306</v>
      </c>
      <c r="AF35">
        <f t="shared" si="1"/>
        <v>12318</v>
      </c>
      <c r="AG35">
        <f t="shared" si="2"/>
        <v>0</v>
      </c>
      <c r="AH35">
        <f t="shared" si="3"/>
        <v>0</v>
      </c>
      <c r="AI35">
        <f t="shared" si="4"/>
        <v>0</v>
      </c>
      <c r="AJ35">
        <f t="shared" si="5"/>
        <v>0</v>
      </c>
    </row>
    <row r="36" spans="1:36">
      <c r="A36" t="s">
        <v>2</v>
      </c>
      <c r="B36" t="s">
        <v>2</v>
      </c>
      <c r="C36">
        <v>12048</v>
      </c>
      <c r="D36" s="102" t="s">
        <v>1385</v>
      </c>
      <c r="E36" s="11" t="e">
        <f>VLOOKUP(C:C,#REF!,1,FALSE)</f>
        <v>#REF!</v>
      </c>
      <c r="F36" t="s">
        <v>1336</v>
      </c>
      <c r="G36">
        <v>0</v>
      </c>
      <c r="H36">
        <v>1</v>
      </c>
      <c r="I36" t="s">
        <v>1123</v>
      </c>
      <c r="J36">
        <v>0</v>
      </c>
      <c r="K36">
        <v>12306</v>
      </c>
      <c r="L36" t="s">
        <v>978</v>
      </c>
      <c r="M36" t="s">
        <v>1336</v>
      </c>
      <c r="N36">
        <v>12318</v>
      </c>
      <c r="O36" t="s">
        <v>979</v>
      </c>
      <c r="P36" t="s">
        <v>1336</v>
      </c>
      <c r="Q36">
        <v>0</v>
      </c>
      <c r="R36" t="e">
        <v>#N/A</v>
      </c>
      <c r="S36" t="e">
        <v>#N/A</v>
      </c>
      <c r="T36">
        <v>0</v>
      </c>
      <c r="U36">
        <v>0</v>
      </c>
      <c r="V36" t="e">
        <v>#N/A</v>
      </c>
      <c r="W36">
        <v>0</v>
      </c>
      <c r="X36">
        <v>0</v>
      </c>
      <c r="Y36" t="e">
        <v>#N/A</v>
      </c>
      <c r="Z36">
        <v>0</v>
      </c>
      <c r="AA36">
        <v>0</v>
      </c>
      <c r="AB36" t="e">
        <v>#N/A</v>
      </c>
      <c r="AC36" t="s">
        <v>1123</v>
      </c>
      <c r="AE36">
        <f t="shared" si="0"/>
        <v>12306</v>
      </c>
      <c r="AF36">
        <f t="shared" si="1"/>
        <v>12318</v>
      </c>
      <c r="AG36">
        <f t="shared" si="2"/>
        <v>0</v>
      </c>
      <c r="AH36">
        <f t="shared" si="3"/>
        <v>0</v>
      </c>
      <c r="AI36">
        <f t="shared" si="4"/>
        <v>0</v>
      </c>
      <c r="AJ36">
        <f t="shared" si="5"/>
        <v>0</v>
      </c>
    </row>
    <row r="37" spans="1:36">
      <c r="A37" t="s">
        <v>2</v>
      </c>
      <c r="B37" t="s">
        <v>2</v>
      </c>
      <c r="C37">
        <v>12049</v>
      </c>
      <c r="D37" s="102" t="s">
        <v>1386</v>
      </c>
      <c r="E37" s="11" t="e">
        <f>VLOOKUP(C:C,#REF!,1,FALSE)</f>
        <v>#REF!</v>
      </c>
      <c r="F37" t="s">
        <v>1336</v>
      </c>
      <c r="G37">
        <v>0</v>
      </c>
      <c r="H37">
        <v>1</v>
      </c>
      <c r="I37" t="s">
        <v>1124</v>
      </c>
      <c r="J37">
        <v>0</v>
      </c>
      <c r="K37">
        <v>12306</v>
      </c>
      <c r="L37" t="s">
        <v>978</v>
      </c>
      <c r="M37" t="s">
        <v>1336</v>
      </c>
      <c r="N37">
        <v>12318</v>
      </c>
      <c r="O37" t="s">
        <v>979</v>
      </c>
      <c r="P37" t="s">
        <v>1336</v>
      </c>
      <c r="Q37">
        <v>0</v>
      </c>
      <c r="R37" t="e">
        <v>#N/A</v>
      </c>
      <c r="S37" t="e">
        <v>#N/A</v>
      </c>
      <c r="T37">
        <v>0</v>
      </c>
      <c r="U37">
        <v>0</v>
      </c>
      <c r="V37" t="e">
        <v>#N/A</v>
      </c>
      <c r="W37">
        <v>0</v>
      </c>
      <c r="X37">
        <v>0</v>
      </c>
      <c r="Y37" t="e">
        <v>#N/A</v>
      </c>
      <c r="Z37">
        <v>0</v>
      </c>
      <c r="AA37">
        <v>0</v>
      </c>
      <c r="AB37" t="e">
        <v>#N/A</v>
      </c>
      <c r="AC37" t="s">
        <v>1124</v>
      </c>
      <c r="AE37">
        <f t="shared" si="0"/>
        <v>12306</v>
      </c>
      <c r="AF37">
        <f t="shared" si="1"/>
        <v>12318</v>
      </c>
      <c r="AG37">
        <f t="shared" si="2"/>
        <v>0</v>
      </c>
      <c r="AH37">
        <f t="shared" si="3"/>
        <v>0</v>
      </c>
      <c r="AI37">
        <f t="shared" si="4"/>
        <v>0</v>
      </c>
      <c r="AJ37">
        <f t="shared" si="5"/>
        <v>0</v>
      </c>
    </row>
    <row r="38" spans="1:36">
      <c r="A38" t="s">
        <v>2</v>
      </c>
      <c r="B38" t="s">
        <v>2</v>
      </c>
      <c r="C38">
        <v>12052</v>
      </c>
      <c r="D38" s="102" t="s">
        <v>1387</v>
      </c>
      <c r="E38" s="11" t="e">
        <f>VLOOKUP(C:C,#REF!,1,FALSE)</f>
        <v>#REF!</v>
      </c>
      <c r="F38" t="s">
        <v>1336</v>
      </c>
      <c r="G38">
        <v>0</v>
      </c>
      <c r="H38">
        <v>0</v>
      </c>
      <c r="I38" t="s">
        <v>1122</v>
      </c>
      <c r="J38">
        <v>0</v>
      </c>
      <c r="K38">
        <v>12306</v>
      </c>
      <c r="L38" t="s">
        <v>978</v>
      </c>
      <c r="M38" t="s">
        <v>1336</v>
      </c>
      <c r="N38">
        <v>12318</v>
      </c>
      <c r="O38" t="s">
        <v>979</v>
      </c>
      <c r="P38" t="s">
        <v>1336</v>
      </c>
      <c r="Q38">
        <v>0</v>
      </c>
      <c r="R38" t="e">
        <v>#N/A</v>
      </c>
      <c r="S38" t="e">
        <v>#N/A</v>
      </c>
      <c r="T38">
        <v>0</v>
      </c>
      <c r="U38">
        <v>0</v>
      </c>
      <c r="V38" t="e">
        <v>#N/A</v>
      </c>
      <c r="W38">
        <v>0</v>
      </c>
      <c r="X38">
        <v>0</v>
      </c>
      <c r="Y38" t="e">
        <v>#N/A</v>
      </c>
      <c r="Z38">
        <v>0</v>
      </c>
      <c r="AA38">
        <v>0</v>
      </c>
      <c r="AB38" t="e">
        <v>#N/A</v>
      </c>
      <c r="AC38" t="s">
        <v>1122</v>
      </c>
      <c r="AE38">
        <f t="shared" si="0"/>
        <v>12306</v>
      </c>
      <c r="AF38">
        <f t="shared" si="1"/>
        <v>12318</v>
      </c>
      <c r="AG38">
        <f t="shared" si="2"/>
        <v>0</v>
      </c>
      <c r="AH38">
        <f t="shared" si="3"/>
        <v>0</v>
      </c>
      <c r="AI38">
        <f t="shared" si="4"/>
        <v>0</v>
      </c>
      <c r="AJ38">
        <f t="shared" si="5"/>
        <v>0</v>
      </c>
    </row>
    <row r="39" spans="1:36">
      <c r="A39" t="s">
        <v>2</v>
      </c>
      <c r="B39" t="s">
        <v>2</v>
      </c>
      <c r="C39">
        <v>12053</v>
      </c>
      <c r="D39" s="102" t="s">
        <v>1388</v>
      </c>
      <c r="E39" s="11" t="e">
        <f>VLOOKUP(C:C,#REF!,1,FALSE)</f>
        <v>#REF!</v>
      </c>
      <c r="F39" t="s">
        <v>1336</v>
      </c>
      <c r="G39">
        <v>0</v>
      </c>
      <c r="H39">
        <v>0</v>
      </c>
      <c r="I39" t="s">
        <v>1123</v>
      </c>
      <c r="J39">
        <v>0</v>
      </c>
      <c r="K39">
        <v>12306</v>
      </c>
      <c r="L39" t="s">
        <v>978</v>
      </c>
      <c r="M39" t="s">
        <v>1336</v>
      </c>
      <c r="N39">
        <v>12318</v>
      </c>
      <c r="O39" t="s">
        <v>979</v>
      </c>
      <c r="P39" t="s">
        <v>1336</v>
      </c>
      <c r="Q39">
        <v>0</v>
      </c>
      <c r="R39" t="e">
        <v>#N/A</v>
      </c>
      <c r="S39" t="e">
        <v>#N/A</v>
      </c>
      <c r="T39">
        <v>0</v>
      </c>
      <c r="U39">
        <v>0</v>
      </c>
      <c r="V39" t="e">
        <v>#N/A</v>
      </c>
      <c r="W39">
        <v>0</v>
      </c>
      <c r="X39">
        <v>0</v>
      </c>
      <c r="Y39" t="e">
        <v>#N/A</v>
      </c>
      <c r="Z39">
        <v>0</v>
      </c>
      <c r="AA39">
        <v>0</v>
      </c>
      <c r="AB39" t="e">
        <v>#N/A</v>
      </c>
      <c r="AC39" t="s">
        <v>1123</v>
      </c>
      <c r="AE39">
        <f t="shared" si="0"/>
        <v>12306</v>
      </c>
      <c r="AF39">
        <f t="shared" si="1"/>
        <v>12318</v>
      </c>
      <c r="AG39">
        <f t="shared" si="2"/>
        <v>0</v>
      </c>
      <c r="AH39">
        <f t="shared" si="3"/>
        <v>0</v>
      </c>
      <c r="AI39">
        <f t="shared" si="4"/>
        <v>0</v>
      </c>
      <c r="AJ39">
        <f t="shared" si="5"/>
        <v>0</v>
      </c>
    </row>
    <row r="40" spans="1:36">
      <c r="A40" t="s">
        <v>2</v>
      </c>
      <c r="B40" t="s">
        <v>2</v>
      </c>
      <c r="C40">
        <v>12059</v>
      </c>
      <c r="D40" s="102" t="s">
        <v>1389</v>
      </c>
      <c r="E40" s="11" t="e">
        <f>VLOOKUP(C:C,#REF!,1,FALSE)</f>
        <v>#REF!</v>
      </c>
      <c r="F40" t="s">
        <v>1336</v>
      </c>
      <c r="G40">
        <v>0</v>
      </c>
      <c r="H40">
        <v>0</v>
      </c>
      <c r="I40" t="s">
        <v>1124</v>
      </c>
      <c r="J40">
        <v>0</v>
      </c>
      <c r="K40">
        <v>12306</v>
      </c>
      <c r="L40" t="s">
        <v>978</v>
      </c>
      <c r="M40" t="s">
        <v>1336</v>
      </c>
      <c r="N40">
        <v>12318</v>
      </c>
      <c r="O40" t="s">
        <v>979</v>
      </c>
      <c r="P40" t="s">
        <v>1336</v>
      </c>
      <c r="Q40">
        <v>0</v>
      </c>
      <c r="R40" t="e">
        <v>#N/A</v>
      </c>
      <c r="S40" t="e">
        <v>#N/A</v>
      </c>
      <c r="T40">
        <v>0</v>
      </c>
      <c r="U40">
        <v>0</v>
      </c>
      <c r="V40" t="e">
        <v>#N/A</v>
      </c>
      <c r="W40">
        <v>0</v>
      </c>
      <c r="X40">
        <v>0</v>
      </c>
      <c r="Y40" t="e">
        <v>#N/A</v>
      </c>
      <c r="Z40">
        <v>0</v>
      </c>
      <c r="AA40">
        <v>0</v>
      </c>
      <c r="AB40" t="e">
        <v>#N/A</v>
      </c>
      <c r="AC40" t="s">
        <v>1124</v>
      </c>
      <c r="AE40">
        <f t="shared" si="0"/>
        <v>12306</v>
      </c>
      <c r="AF40">
        <f t="shared" si="1"/>
        <v>12318</v>
      </c>
      <c r="AG40">
        <f t="shared" si="2"/>
        <v>0</v>
      </c>
      <c r="AH40">
        <f t="shared" si="3"/>
        <v>0</v>
      </c>
      <c r="AI40">
        <f t="shared" si="4"/>
        <v>0</v>
      </c>
      <c r="AJ40">
        <f t="shared" si="5"/>
        <v>0</v>
      </c>
    </row>
    <row r="41" spans="1:36">
      <c r="A41" t="s">
        <v>2</v>
      </c>
      <c r="B41" t="s">
        <v>2</v>
      </c>
      <c r="C41">
        <v>226668</v>
      </c>
      <c r="D41" s="102" t="s">
        <v>1390</v>
      </c>
      <c r="E41" s="11" t="e">
        <f>VLOOKUP(C:C,#REF!,1,FALSE)</f>
        <v>#REF!</v>
      </c>
      <c r="F41" t="s">
        <v>1335</v>
      </c>
      <c r="G41">
        <v>0</v>
      </c>
      <c r="H41">
        <v>0</v>
      </c>
      <c r="I41" t="s">
        <v>1122</v>
      </c>
      <c r="J41">
        <v>1</v>
      </c>
      <c r="K41">
        <v>12306</v>
      </c>
      <c r="L41" t="s">
        <v>978</v>
      </c>
      <c r="M41" t="s">
        <v>1336</v>
      </c>
      <c r="N41">
        <v>12318</v>
      </c>
      <c r="O41" t="s">
        <v>979</v>
      </c>
      <c r="P41" t="s">
        <v>1336</v>
      </c>
      <c r="Q41">
        <v>0</v>
      </c>
      <c r="R41" t="e">
        <v>#N/A</v>
      </c>
      <c r="S41" t="e">
        <v>#N/A</v>
      </c>
      <c r="T41">
        <v>0</v>
      </c>
      <c r="U41">
        <v>0</v>
      </c>
      <c r="V41" t="e">
        <v>#N/A</v>
      </c>
      <c r="W41">
        <v>0</v>
      </c>
      <c r="X41">
        <v>0</v>
      </c>
      <c r="Y41" t="e">
        <v>#N/A</v>
      </c>
      <c r="Z41">
        <v>0</v>
      </c>
      <c r="AA41">
        <v>0</v>
      </c>
      <c r="AB41" t="e">
        <v>#N/A</v>
      </c>
      <c r="AC41" t="s">
        <v>1122</v>
      </c>
      <c r="AE41">
        <f t="shared" si="0"/>
        <v>12306</v>
      </c>
      <c r="AF41">
        <f t="shared" si="1"/>
        <v>12318</v>
      </c>
      <c r="AG41">
        <f t="shared" si="2"/>
        <v>0</v>
      </c>
      <c r="AH41">
        <f t="shared" si="3"/>
        <v>0</v>
      </c>
      <c r="AI41">
        <f t="shared" si="4"/>
        <v>0</v>
      </c>
      <c r="AJ41">
        <f t="shared" si="5"/>
        <v>0</v>
      </c>
    </row>
    <row r="42" spans="1:36">
      <c r="A42" t="s">
        <v>2</v>
      </c>
      <c r="B42" t="s">
        <v>2</v>
      </c>
      <c r="C42">
        <v>226670</v>
      </c>
      <c r="D42" s="102" t="s">
        <v>1391</v>
      </c>
      <c r="E42" s="11" t="e">
        <f>VLOOKUP(C:C,#REF!,1,FALSE)</f>
        <v>#REF!</v>
      </c>
      <c r="F42" t="s">
        <v>1335</v>
      </c>
      <c r="G42">
        <v>0</v>
      </c>
      <c r="H42">
        <v>0</v>
      </c>
      <c r="I42" t="s">
        <v>1123</v>
      </c>
      <c r="J42">
        <v>1</v>
      </c>
      <c r="K42">
        <v>12306</v>
      </c>
      <c r="L42" t="s">
        <v>978</v>
      </c>
      <c r="M42" t="s">
        <v>1336</v>
      </c>
      <c r="N42">
        <v>12318</v>
      </c>
      <c r="O42" t="s">
        <v>979</v>
      </c>
      <c r="P42" t="s">
        <v>1336</v>
      </c>
      <c r="Q42">
        <v>0</v>
      </c>
      <c r="R42" t="e">
        <v>#N/A</v>
      </c>
      <c r="S42" t="e">
        <v>#N/A</v>
      </c>
      <c r="T42">
        <v>0</v>
      </c>
      <c r="U42">
        <v>0</v>
      </c>
      <c r="V42" t="e">
        <v>#N/A</v>
      </c>
      <c r="W42">
        <v>0</v>
      </c>
      <c r="X42">
        <v>0</v>
      </c>
      <c r="Y42" t="e">
        <v>#N/A</v>
      </c>
      <c r="Z42">
        <v>0</v>
      </c>
      <c r="AA42">
        <v>0</v>
      </c>
      <c r="AB42" t="e">
        <v>#N/A</v>
      </c>
      <c r="AC42" t="s">
        <v>1123</v>
      </c>
      <c r="AE42">
        <f t="shared" si="0"/>
        <v>12306</v>
      </c>
      <c r="AF42">
        <f t="shared" si="1"/>
        <v>12318</v>
      </c>
      <c r="AG42">
        <f t="shared" si="2"/>
        <v>0</v>
      </c>
      <c r="AH42">
        <f t="shared" si="3"/>
        <v>0</v>
      </c>
      <c r="AI42">
        <f t="shared" si="4"/>
        <v>0</v>
      </c>
      <c r="AJ42">
        <f t="shared" si="5"/>
        <v>0</v>
      </c>
    </row>
    <row r="43" spans="1:36">
      <c r="A43" t="s">
        <v>2</v>
      </c>
      <c r="B43" t="s">
        <v>2</v>
      </c>
      <c r="C43">
        <v>226671</v>
      </c>
      <c r="D43" s="102" t="s">
        <v>1392</v>
      </c>
      <c r="E43" s="11" t="e">
        <f>VLOOKUP(C:C,#REF!,1,FALSE)</f>
        <v>#REF!</v>
      </c>
      <c r="F43" t="s">
        <v>1335</v>
      </c>
      <c r="G43">
        <v>0</v>
      </c>
      <c r="H43">
        <v>0</v>
      </c>
      <c r="I43" t="s">
        <v>1124</v>
      </c>
      <c r="J43">
        <v>1</v>
      </c>
      <c r="K43">
        <v>12306</v>
      </c>
      <c r="L43" t="s">
        <v>978</v>
      </c>
      <c r="M43" t="s">
        <v>1336</v>
      </c>
      <c r="N43">
        <v>12318</v>
      </c>
      <c r="O43" t="s">
        <v>979</v>
      </c>
      <c r="P43" t="s">
        <v>1336</v>
      </c>
      <c r="Q43">
        <v>0</v>
      </c>
      <c r="R43" t="e">
        <v>#N/A</v>
      </c>
      <c r="S43" t="e">
        <v>#N/A</v>
      </c>
      <c r="T43">
        <v>0</v>
      </c>
      <c r="U43">
        <v>0</v>
      </c>
      <c r="V43" t="e">
        <v>#N/A</v>
      </c>
      <c r="W43">
        <v>0</v>
      </c>
      <c r="X43">
        <v>0</v>
      </c>
      <c r="Y43" t="e">
        <v>#N/A</v>
      </c>
      <c r="Z43">
        <v>0</v>
      </c>
      <c r="AA43">
        <v>0</v>
      </c>
      <c r="AB43" t="e">
        <v>#N/A</v>
      </c>
      <c r="AC43" t="s">
        <v>1124</v>
      </c>
      <c r="AE43">
        <f t="shared" si="0"/>
        <v>12306</v>
      </c>
      <c r="AF43">
        <f t="shared" si="1"/>
        <v>12318</v>
      </c>
      <c r="AG43">
        <f t="shared" si="2"/>
        <v>0</v>
      </c>
      <c r="AH43">
        <f t="shared" si="3"/>
        <v>0</v>
      </c>
      <c r="AI43">
        <f t="shared" si="4"/>
        <v>0</v>
      </c>
      <c r="AJ43">
        <f t="shared" si="5"/>
        <v>0</v>
      </c>
    </row>
    <row r="44" spans="1:36">
      <c r="A44" t="s">
        <v>2</v>
      </c>
      <c r="B44" t="s">
        <v>2</v>
      </c>
      <c r="C44">
        <v>306317</v>
      </c>
      <c r="D44" s="102" t="s">
        <v>1393</v>
      </c>
      <c r="E44" s="11" t="e">
        <f>VLOOKUP(C:C,#REF!,1,FALSE)</f>
        <v>#REF!</v>
      </c>
      <c r="F44" t="s">
        <v>1335</v>
      </c>
      <c r="G44">
        <v>0</v>
      </c>
      <c r="H44">
        <v>1</v>
      </c>
      <c r="I44" t="s">
        <v>1122</v>
      </c>
      <c r="J44">
        <v>0</v>
      </c>
      <c r="K44">
        <v>12306</v>
      </c>
      <c r="L44" t="s">
        <v>978</v>
      </c>
      <c r="M44" t="s">
        <v>1336</v>
      </c>
      <c r="N44">
        <v>12318</v>
      </c>
      <c r="O44" t="s">
        <v>979</v>
      </c>
      <c r="P44" t="s">
        <v>1336</v>
      </c>
      <c r="Q44">
        <v>0</v>
      </c>
      <c r="R44">
        <v>0</v>
      </c>
      <c r="S44" t="e">
        <v>#N/A</v>
      </c>
      <c r="T44">
        <v>0</v>
      </c>
      <c r="U44">
        <v>0</v>
      </c>
      <c r="V44" t="e">
        <v>#N/A</v>
      </c>
      <c r="W44">
        <v>0</v>
      </c>
      <c r="X44">
        <v>0</v>
      </c>
      <c r="Y44" t="e">
        <v>#N/A</v>
      </c>
      <c r="Z44">
        <v>0</v>
      </c>
      <c r="AA44">
        <v>0</v>
      </c>
      <c r="AB44" t="e">
        <v>#N/A</v>
      </c>
      <c r="AC44">
        <v>0</v>
      </c>
      <c r="AE44">
        <f t="shared" si="0"/>
        <v>12306</v>
      </c>
      <c r="AF44">
        <f t="shared" si="1"/>
        <v>12318</v>
      </c>
      <c r="AG44">
        <f t="shared" si="2"/>
        <v>0</v>
      </c>
      <c r="AH44">
        <f t="shared" si="3"/>
        <v>0</v>
      </c>
      <c r="AI44">
        <f t="shared" si="4"/>
        <v>0</v>
      </c>
      <c r="AJ44">
        <f t="shared" si="5"/>
        <v>0</v>
      </c>
    </row>
    <row r="45" spans="1:36">
      <c r="A45" t="s">
        <v>2</v>
      </c>
      <c r="B45" t="s">
        <v>2</v>
      </c>
      <c r="C45">
        <v>306318</v>
      </c>
      <c r="D45" s="102" t="s">
        <v>1394</v>
      </c>
      <c r="E45" s="11" t="e">
        <f>VLOOKUP(C:C,#REF!,1,FALSE)</f>
        <v>#REF!</v>
      </c>
      <c r="F45" t="s">
        <v>1335</v>
      </c>
      <c r="G45">
        <v>0</v>
      </c>
      <c r="H45">
        <v>1</v>
      </c>
      <c r="I45" t="s">
        <v>1123</v>
      </c>
      <c r="J45">
        <v>0</v>
      </c>
      <c r="K45">
        <v>12306</v>
      </c>
      <c r="L45" t="s">
        <v>978</v>
      </c>
      <c r="M45" t="s">
        <v>1336</v>
      </c>
      <c r="N45">
        <v>12318</v>
      </c>
      <c r="O45" t="s">
        <v>979</v>
      </c>
      <c r="P45" t="s">
        <v>1336</v>
      </c>
      <c r="Q45">
        <v>0</v>
      </c>
      <c r="R45">
        <v>0</v>
      </c>
      <c r="S45" t="e">
        <v>#N/A</v>
      </c>
      <c r="T45">
        <v>0</v>
      </c>
      <c r="U45">
        <v>0</v>
      </c>
      <c r="V45" t="e">
        <v>#N/A</v>
      </c>
      <c r="W45">
        <v>0</v>
      </c>
      <c r="X45">
        <v>0</v>
      </c>
      <c r="Y45" t="e">
        <v>#N/A</v>
      </c>
      <c r="Z45">
        <v>0</v>
      </c>
      <c r="AA45">
        <v>0</v>
      </c>
      <c r="AB45" t="e">
        <v>#N/A</v>
      </c>
      <c r="AC45">
        <v>0</v>
      </c>
      <c r="AE45">
        <f t="shared" si="0"/>
        <v>12306</v>
      </c>
      <c r="AF45">
        <f t="shared" si="1"/>
        <v>12318</v>
      </c>
      <c r="AG45">
        <f t="shared" si="2"/>
        <v>0</v>
      </c>
      <c r="AH45">
        <f t="shared" si="3"/>
        <v>0</v>
      </c>
      <c r="AI45">
        <f t="shared" si="4"/>
        <v>0</v>
      </c>
      <c r="AJ45">
        <f t="shared" si="5"/>
        <v>0</v>
      </c>
    </row>
    <row r="46" spans="1:36">
      <c r="A46" t="s">
        <v>2</v>
      </c>
      <c r="B46" t="s">
        <v>2</v>
      </c>
      <c r="C46">
        <v>306319</v>
      </c>
      <c r="D46" s="102" t="s">
        <v>1395</v>
      </c>
      <c r="E46" s="11" t="e">
        <f>VLOOKUP(C:C,#REF!,1,FALSE)</f>
        <v>#REF!</v>
      </c>
      <c r="F46" t="s">
        <v>1335</v>
      </c>
      <c r="G46">
        <v>0</v>
      </c>
      <c r="H46">
        <v>1</v>
      </c>
      <c r="I46" t="s">
        <v>1124</v>
      </c>
      <c r="J46">
        <v>0</v>
      </c>
      <c r="K46">
        <v>12306</v>
      </c>
      <c r="L46" t="s">
        <v>978</v>
      </c>
      <c r="M46" t="s">
        <v>1336</v>
      </c>
      <c r="N46">
        <v>12318</v>
      </c>
      <c r="O46" t="s">
        <v>979</v>
      </c>
      <c r="P46" t="s">
        <v>1336</v>
      </c>
      <c r="Q46">
        <v>0</v>
      </c>
      <c r="R46">
        <v>0</v>
      </c>
      <c r="S46" t="e">
        <v>#N/A</v>
      </c>
      <c r="T46">
        <v>0</v>
      </c>
      <c r="U46">
        <v>0</v>
      </c>
      <c r="V46" t="e">
        <v>#N/A</v>
      </c>
      <c r="W46">
        <v>0</v>
      </c>
      <c r="X46">
        <v>0</v>
      </c>
      <c r="Y46" t="e">
        <v>#N/A</v>
      </c>
      <c r="Z46">
        <v>0</v>
      </c>
      <c r="AA46">
        <v>0</v>
      </c>
      <c r="AB46" t="e">
        <v>#N/A</v>
      </c>
      <c r="AC46">
        <v>0</v>
      </c>
      <c r="AE46">
        <f t="shared" si="0"/>
        <v>12306</v>
      </c>
      <c r="AF46">
        <f t="shared" si="1"/>
        <v>12318</v>
      </c>
      <c r="AG46">
        <f t="shared" si="2"/>
        <v>0</v>
      </c>
      <c r="AH46">
        <f t="shared" si="3"/>
        <v>0</v>
      </c>
      <c r="AI46">
        <f t="shared" si="4"/>
        <v>0</v>
      </c>
      <c r="AJ46">
        <f t="shared" si="5"/>
        <v>0</v>
      </c>
    </row>
    <row r="47" spans="1:36">
      <c r="A47" t="s">
        <v>2</v>
      </c>
      <c r="B47" t="s">
        <v>2</v>
      </c>
      <c r="C47">
        <v>12106</v>
      </c>
      <c r="D47" s="102" t="s">
        <v>1396</v>
      </c>
      <c r="E47" s="11" t="e">
        <f>VLOOKUP(C:C,#REF!,1,FALSE)</f>
        <v>#REF!</v>
      </c>
      <c r="F47" t="s">
        <v>1336</v>
      </c>
      <c r="G47">
        <v>1</v>
      </c>
      <c r="H47">
        <v>0</v>
      </c>
      <c r="I47" t="s">
        <v>1122</v>
      </c>
      <c r="J47">
        <v>0</v>
      </c>
      <c r="K47">
        <v>12306</v>
      </c>
      <c r="L47" t="s">
        <v>978</v>
      </c>
      <c r="M47" t="s">
        <v>1336</v>
      </c>
      <c r="N47">
        <v>12318</v>
      </c>
      <c r="O47" t="s">
        <v>979</v>
      </c>
      <c r="P47" t="s">
        <v>1336</v>
      </c>
      <c r="Q47">
        <v>0</v>
      </c>
      <c r="R47" t="e">
        <v>#N/A</v>
      </c>
      <c r="S47" t="e">
        <v>#N/A</v>
      </c>
      <c r="T47">
        <v>0</v>
      </c>
      <c r="U47">
        <v>0</v>
      </c>
      <c r="V47" t="e">
        <v>#N/A</v>
      </c>
      <c r="W47">
        <v>0</v>
      </c>
      <c r="X47">
        <v>0</v>
      </c>
      <c r="Y47" t="e">
        <v>#N/A</v>
      </c>
      <c r="Z47">
        <v>0</v>
      </c>
      <c r="AA47">
        <v>0</v>
      </c>
      <c r="AB47" t="e">
        <v>#N/A</v>
      </c>
      <c r="AC47" t="s">
        <v>1122</v>
      </c>
      <c r="AE47">
        <f t="shared" si="0"/>
        <v>12306</v>
      </c>
      <c r="AF47">
        <f t="shared" si="1"/>
        <v>12318</v>
      </c>
      <c r="AG47">
        <f t="shared" si="2"/>
        <v>0</v>
      </c>
      <c r="AH47">
        <f t="shared" si="3"/>
        <v>0</v>
      </c>
      <c r="AI47">
        <f t="shared" si="4"/>
        <v>0</v>
      </c>
      <c r="AJ47">
        <f t="shared" si="5"/>
        <v>0</v>
      </c>
    </row>
    <row r="48" spans="1:36">
      <c r="A48" t="s">
        <v>2</v>
      </c>
      <c r="B48" t="s">
        <v>2</v>
      </c>
      <c r="C48">
        <v>12107</v>
      </c>
      <c r="D48" s="102" t="s">
        <v>1397</v>
      </c>
      <c r="E48" s="11" t="e">
        <f>VLOOKUP(C:C,#REF!,1,FALSE)</f>
        <v>#REF!</v>
      </c>
      <c r="F48" t="s">
        <v>1336</v>
      </c>
      <c r="G48">
        <v>1</v>
      </c>
      <c r="H48">
        <v>0</v>
      </c>
      <c r="I48" t="s">
        <v>1123</v>
      </c>
      <c r="J48">
        <v>0</v>
      </c>
      <c r="K48">
        <v>12306</v>
      </c>
      <c r="L48" t="s">
        <v>978</v>
      </c>
      <c r="M48" t="s">
        <v>1336</v>
      </c>
      <c r="N48">
        <v>12318</v>
      </c>
      <c r="O48" t="s">
        <v>979</v>
      </c>
      <c r="P48" t="s">
        <v>1336</v>
      </c>
      <c r="Q48">
        <v>0</v>
      </c>
      <c r="R48" t="e">
        <v>#N/A</v>
      </c>
      <c r="S48" t="e">
        <v>#N/A</v>
      </c>
      <c r="T48">
        <v>0</v>
      </c>
      <c r="U48">
        <v>0</v>
      </c>
      <c r="V48" t="e">
        <v>#N/A</v>
      </c>
      <c r="W48">
        <v>0</v>
      </c>
      <c r="X48">
        <v>0</v>
      </c>
      <c r="Y48" t="e">
        <v>#N/A</v>
      </c>
      <c r="Z48">
        <v>0</v>
      </c>
      <c r="AA48">
        <v>0</v>
      </c>
      <c r="AB48" t="e">
        <v>#N/A</v>
      </c>
      <c r="AC48" t="s">
        <v>1123</v>
      </c>
      <c r="AE48">
        <f t="shared" si="0"/>
        <v>12306</v>
      </c>
      <c r="AF48">
        <f t="shared" si="1"/>
        <v>12318</v>
      </c>
      <c r="AG48">
        <f t="shared" si="2"/>
        <v>0</v>
      </c>
      <c r="AH48">
        <f t="shared" si="3"/>
        <v>0</v>
      </c>
      <c r="AI48">
        <f t="shared" si="4"/>
        <v>0</v>
      </c>
      <c r="AJ48">
        <f t="shared" si="5"/>
        <v>0</v>
      </c>
    </row>
    <row r="49" spans="1:36">
      <c r="A49" t="s">
        <v>2</v>
      </c>
      <c r="B49" t="s">
        <v>2</v>
      </c>
      <c r="C49">
        <v>12108</v>
      </c>
      <c r="D49" s="102" t="s">
        <v>1398</v>
      </c>
      <c r="E49" s="11" t="e">
        <f>VLOOKUP(C:C,#REF!,1,FALSE)</f>
        <v>#REF!</v>
      </c>
      <c r="F49" t="s">
        <v>1335</v>
      </c>
      <c r="G49">
        <v>1</v>
      </c>
      <c r="H49">
        <v>0</v>
      </c>
      <c r="I49" t="s">
        <v>1124</v>
      </c>
      <c r="J49">
        <v>0</v>
      </c>
      <c r="K49">
        <v>12306</v>
      </c>
      <c r="L49" t="s">
        <v>978</v>
      </c>
      <c r="M49" t="s">
        <v>1336</v>
      </c>
      <c r="N49">
        <v>12318</v>
      </c>
      <c r="O49" t="s">
        <v>979</v>
      </c>
      <c r="P49" t="s">
        <v>1336</v>
      </c>
      <c r="Q49">
        <v>0</v>
      </c>
      <c r="R49" t="e">
        <v>#N/A</v>
      </c>
      <c r="S49" t="e">
        <v>#N/A</v>
      </c>
      <c r="T49">
        <v>0</v>
      </c>
      <c r="U49">
        <v>0</v>
      </c>
      <c r="V49" t="e">
        <v>#N/A</v>
      </c>
      <c r="W49">
        <v>0</v>
      </c>
      <c r="X49">
        <v>0</v>
      </c>
      <c r="Y49" t="e">
        <v>#N/A</v>
      </c>
      <c r="Z49">
        <v>0</v>
      </c>
      <c r="AA49">
        <v>0</v>
      </c>
      <c r="AB49" t="e">
        <v>#N/A</v>
      </c>
      <c r="AC49" t="s">
        <v>1124</v>
      </c>
      <c r="AE49">
        <f t="shared" si="0"/>
        <v>12306</v>
      </c>
      <c r="AF49">
        <f t="shared" si="1"/>
        <v>12318</v>
      </c>
      <c r="AG49">
        <f t="shared" si="2"/>
        <v>0</v>
      </c>
      <c r="AH49">
        <f t="shared" si="3"/>
        <v>0</v>
      </c>
      <c r="AI49">
        <f t="shared" si="4"/>
        <v>0</v>
      </c>
      <c r="AJ49">
        <f t="shared" si="5"/>
        <v>0</v>
      </c>
    </row>
    <row r="50" spans="1:36">
      <c r="A50" t="s">
        <v>2</v>
      </c>
      <c r="B50" t="s">
        <v>2</v>
      </c>
      <c r="C50">
        <v>118033</v>
      </c>
      <c r="D50" s="102" t="s">
        <v>1399</v>
      </c>
      <c r="E50" s="11" t="e">
        <f>VLOOKUP(C:C,#REF!,1,FALSE)</f>
        <v>#REF!</v>
      </c>
      <c r="F50" t="s">
        <v>1335</v>
      </c>
      <c r="G50">
        <v>1</v>
      </c>
      <c r="H50">
        <v>1</v>
      </c>
      <c r="I50" t="s">
        <v>1122</v>
      </c>
      <c r="J50">
        <v>0</v>
      </c>
      <c r="K50">
        <v>12306</v>
      </c>
      <c r="L50" t="s">
        <v>978</v>
      </c>
      <c r="M50" t="s">
        <v>1336</v>
      </c>
      <c r="N50">
        <v>12318</v>
      </c>
      <c r="O50" t="s">
        <v>979</v>
      </c>
      <c r="P50" t="s">
        <v>1336</v>
      </c>
      <c r="Q50">
        <v>0</v>
      </c>
      <c r="R50" t="e">
        <v>#N/A</v>
      </c>
      <c r="S50" t="e">
        <v>#N/A</v>
      </c>
      <c r="T50">
        <v>0</v>
      </c>
      <c r="U50">
        <v>0</v>
      </c>
      <c r="V50" t="e">
        <v>#N/A</v>
      </c>
      <c r="W50">
        <v>0</v>
      </c>
      <c r="X50">
        <v>0</v>
      </c>
      <c r="Y50" t="e">
        <v>#N/A</v>
      </c>
      <c r="Z50">
        <v>0</v>
      </c>
      <c r="AA50">
        <v>0</v>
      </c>
      <c r="AB50" t="e">
        <v>#N/A</v>
      </c>
      <c r="AC50" t="s">
        <v>1122</v>
      </c>
      <c r="AE50">
        <f t="shared" si="0"/>
        <v>12306</v>
      </c>
      <c r="AF50">
        <f t="shared" si="1"/>
        <v>12318</v>
      </c>
      <c r="AG50">
        <f t="shared" si="2"/>
        <v>0</v>
      </c>
      <c r="AH50">
        <f t="shared" si="3"/>
        <v>0</v>
      </c>
      <c r="AI50">
        <f t="shared" si="4"/>
        <v>0</v>
      </c>
      <c r="AJ50">
        <f t="shared" si="5"/>
        <v>0</v>
      </c>
    </row>
    <row r="51" spans="1:36">
      <c r="A51" t="s">
        <v>2</v>
      </c>
      <c r="B51" t="s">
        <v>2</v>
      </c>
      <c r="C51">
        <v>118120</v>
      </c>
      <c r="D51" s="102" t="s">
        <v>1400</v>
      </c>
      <c r="E51" s="11" t="e">
        <f>VLOOKUP(C:C,#REF!,1,FALSE)</f>
        <v>#REF!</v>
      </c>
      <c r="F51" t="s">
        <v>1335</v>
      </c>
      <c r="G51">
        <v>1</v>
      </c>
      <c r="H51">
        <v>1</v>
      </c>
      <c r="I51" t="s">
        <v>1123</v>
      </c>
      <c r="J51">
        <v>0</v>
      </c>
      <c r="K51">
        <v>12306</v>
      </c>
      <c r="L51" t="s">
        <v>978</v>
      </c>
      <c r="M51" t="s">
        <v>1336</v>
      </c>
      <c r="N51">
        <v>12318</v>
      </c>
      <c r="O51" t="s">
        <v>979</v>
      </c>
      <c r="P51" t="s">
        <v>1336</v>
      </c>
      <c r="Q51">
        <v>0</v>
      </c>
      <c r="R51" t="e">
        <v>#N/A</v>
      </c>
      <c r="S51" t="e">
        <v>#N/A</v>
      </c>
      <c r="T51">
        <v>0</v>
      </c>
      <c r="U51">
        <v>0</v>
      </c>
      <c r="V51" t="e">
        <v>#N/A</v>
      </c>
      <c r="W51">
        <v>0</v>
      </c>
      <c r="X51">
        <v>0</v>
      </c>
      <c r="Y51" t="e">
        <v>#N/A</v>
      </c>
      <c r="Z51">
        <v>0</v>
      </c>
      <c r="AA51">
        <v>0</v>
      </c>
      <c r="AB51" t="e">
        <v>#N/A</v>
      </c>
      <c r="AC51" t="s">
        <v>1123</v>
      </c>
      <c r="AE51">
        <f t="shared" si="0"/>
        <v>12306</v>
      </c>
      <c r="AF51">
        <f t="shared" si="1"/>
        <v>12318</v>
      </c>
      <c r="AG51">
        <f t="shared" si="2"/>
        <v>0</v>
      </c>
      <c r="AH51">
        <f t="shared" si="3"/>
        <v>0</v>
      </c>
      <c r="AI51">
        <f t="shared" si="4"/>
        <v>0</v>
      </c>
      <c r="AJ51">
        <f t="shared" si="5"/>
        <v>0</v>
      </c>
    </row>
    <row r="52" spans="1:36">
      <c r="A52" t="s">
        <v>2</v>
      </c>
      <c r="B52" t="s">
        <v>2</v>
      </c>
      <c r="C52">
        <v>118121</v>
      </c>
      <c r="D52" s="102" t="s">
        <v>1401</v>
      </c>
      <c r="E52" s="11" t="e">
        <f>VLOOKUP(C:C,#REF!,1,FALSE)</f>
        <v>#REF!</v>
      </c>
      <c r="F52" t="s">
        <v>1335</v>
      </c>
      <c r="G52">
        <v>1</v>
      </c>
      <c r="H52">
        <v>1</v>
      </c>
      <c r="I52" t="s">
        <v>1124</v>
      </c>
      <c r="J52">
        <v>0</v>
      </c>
      <c r="K52">
        <v>12306</v>
      </c>
      <c r="L52" t="s">
        <v>978</v>
      </c>
      <c r="M52" t="s">
        <v>1336</v>
      </c>
      <c r="N52">
        <v>12318</v>
      </c>
      <c r="O52" t="s">
        <v>979</v>
      </c>
      <c r="P52" t="s">
        <v>1336</v>
      </c>
      <c r="Q52">
        <v>0</v>
      </c>
      <c r="R52" t="e">
        <v>#N/A</v>
      </c>
      <c r="S52" t="e">
        <v>#N/A</v>
      </c>
      <c r="T52">
        <v>0</v>
      </c>
      <c r="U52">
        <v>0</v>
      </c>
      <c r="V52" t="e">
        <v>#N/A</v>
      </c>
      <c r="W52">
        <v>0</v>
      </c>
      <c r="X52">
        <v>0</v>
      </c>
      <c r="Y52" t="e">
        <v>#N/A</v>
      </c>
      <c r="Z52">
        <v>0</v>
      </c>
      <c r="AA52">
        <v>0</v>
      </c>
      <c r="AB52" t="e">
        <v>#N/A</v>
      </c>
      <c r="AC52" t="s">
        <v>1124</v>
      </c>
      <c r="AE52">
        <f t="shared" si="0"/>
        <v>12306</v>
      </c>
      <c r="AF52">
        <f t="shared" si="1"/>
        <v>12318</v>
      </c>
      <c r="AG52">
        <f t="shared" si="2"/>
        <v>0</v>
      </c>
      <c r="AH52">
        <f t="shared" si="3"/>
        <v>0</v>
      </c>
      <c r="AI52">
        <f t="shared" si="4"/>
        <v>0</v>
      </c>
      <c r="AJ52">
        <f t="shared" si="5"/>
        <v>0</v>
      </c>
    </row>
    <row r="53" spans="1:36">
      <c r="A53" t="s">
        <v>2</v>
      </c>
      <c r="B53" t="s">
        <v>2</v>
      </c>
      <c r="C53">
        <v>12109</v>
      </c>
      <c r="D53" s="102" t="s">
        <v>1402</v>
      </c>
      <c r="E53" s="11" t="e">
        <f>VLOOKUP(C:C,#REF!,1,FALSE)</f>
        <v>#REF!</v>
      </c>
      <c r="F53" t="s">
        <v>1335</v>
      </c>
      <c r="G53">
        <v>1</v>
      </c>
      <c r="H53">
        <v>0</v>
      </c>
      <c r="I53" t="s">
        <v>1122</v>
      </c>
      <c r="J53">
        <v>1</v>
      </c>
      <c r="K53">
        <v>12306</v>
      </c>
      <c r="L53" t="s">
        <v>978</v>
      </c>
      <c r="M53" t="s">
        <v>1336</v>
      </c>
      <c r="N53">
        <v>12318</v>
      </c>
      <c r="O53" t="s">
        <v>979</v>
      </c>
      <c r="P53" t="s">
        <v>1336</v>
      </c>
      <c r="Q53">
        <v>0</v>
      </c>
      <c r="R53" t="e">
        <v>#N/A</v>
      </c>
      <c r="S53" t="e">
        <v>#N/A</v>
      </c>
      <c r="T53">
        <v>0</v>
      </c>
      <c r="U53">
        <v>0</v>
      </c>
      <c r="V53" t="e">
        <v>#N/A</v>
      </c>
      <c r="W53">
        <v>0</v>
      </c>
      <c r="X53">
        <v>0</v>
      </c>
      <c r="Y53" t="e">
        <v>#N/A</v>
      </c>
      <c r="Z53">
        <v>0</v>
      </c>
      <c r="AA53">
        <v>0</v>
      </c>
      <c r="AB53" t="e">
        <v>#N/A</v>
      </c>
      <c r="AC53" t="s">
        <v>1122</v>
      </c>
      <c r="AE53">
        <f t="shared" si="0"/>
        <v>12306</v>
      </c>
      <c r="AF53">
        <f t="shared" si="1"/>
        <v>12318</v>
      </c>
      <c r="AG53">
        <f t="shared" si="2"/>
        <v>0</v>
      </c>
      <c r="AH53">
        <f t="shared" si="3"/>
        <v>0</v>
      </c>
      <c r="AI53">
        <f t="shared" si="4"/>
        <v>0</v>
      </c>
      <c r="AJ53">
        <f t="shared" si="5"/>
        <v>0</v>
      </c>
    </row>
    <row r="54" spans="1:36">
      <c r="A54" t="s">
        <v>2</v>
      </c>
      <c r="B54" t="s">
        <v>2</v>
      </c>
      <c r="C54">
        <v>13764</v>
      </c>
      <c r="D54" s="102" t="s">
        <v>1403</v>
      </c>
      <c r="E54" s="11" t="e">
        <f>VLOOKUP(C:C,#REF!,1,FALSE)</f>
        <v>#REF!</v>
      </c>
      <c r="F54" t="s">
        <v>1336</v>
      </c>
      <c r="G54">
        <v>1</v>
      </c>
      <c r="H54">
        <v>0</v>
      </c>
      <c r="I54" t="s">
        <v>1122</v>
      </c>
      <c r="J54">
        <v>1</v>
      </c>
      <c r="K54">
        <v>12306</v>
      </c>
      <c r="L54" t="s">
        <v>978</v>
      </c>
      <c r="M54" t="s">
        <v>1336</v>
      </c>
      <c r="N54">
        <v>12318</v>
      </c>
      <c r="O54" t="s">
        <v>979</v>
      </c>
      <c r="P54" t="s">
        <v>1336</v>
      </c>
      <c r="Q54">
        <v>0</v>
      </c>
      <c r="R54" t="e">
        <v>#N/A</v>
      </c>
      <c r="S54" t="e">
        <v>#N/A</v>
      </c>
      <c r="T54">
        <v>0</v>
      </c>
      <c r="U54">
        <v>0</v>
      </c>
      <c r="V54" t="e">
        <v>#N/A</v>
      </c>
      <c r="W54">
        <v>0</v>
      </c>
      <c r="X54">
        <v>0</v>
      </c>
      <c r="Y54" t="e">
        <v>#N/A</v>
      </c>
      <c r="Z54">
        <v>0</v>
      </c>
      <c r="AA54">
        <v>0</v>
      </c>
      <c r="AB54" t="e">
        <v>#N/A</v>
      </c>
      <c r="AC54" t="s">
        <v>1122</v>
      </c>
      <c r="AE54">
        <f t="shared" si="0"/>
        <v>12306</v>
      </c>
      <c r="AF54">
        <f t="shared" si="1"/>
        <v>12318</v>
      </c>
      <c r="AG54">
        <f t="shared" si="2"/>
        <v>0</v>
      </c>
      <c r="AH54">
        <f t="shared" si="3"/>
        <v>0</v>
      </c>
      <c r="AI54">
        <f t="shared" si="4"/>
        <v>0</v>
      </c>
      <c r="AJ54">
        <f t="shared" si="5"/>
        <v>0</v>
      </c>
    </row>
    <row r="55" spans="1:36">
      <c r="A55" t="s">
        <v>2</v>
      </c>
      <c r="B55" t="s">
        <v>2</v>
      </c>
      <c r="C55">
        <v>306329</v>
      </c>
      <c r="D55" s="102" t="s">
        <v>1404</v>
      </c>
      <c r="E55" s="11" t="e">
        <f>VLOOKUP(C:C,#REF!,1,FALSE)</f>
        <v>#REF!</v>
      </c>
      <c r="F55" t="s">
        <v>1335</v>
      </c>
      <c r="G55">
        <v>1</v>
      </c>
      <c r="H55">
        <v>0</v>
      </c>
      <c r="I55" t="s">
        <v>1122</v>
      </c>
      <c r="J55">
        <v>0</v>
      </c>
      <c r="K55">
        <v>12306</v>
      </c>
      <c r="L55" t="s">
        <v>978</v>
      </c>
      <c r="M55" t="s">
        <v>1336</v>
      </c>
      <c r="N55">
        <v>12318</v>
      </c>
      <c r="O55" t="s">
        <v>979</v>
      </c>
      <c r="P55" t="s">
        <v>1336</v>
      </c>
      <c r="Q55">
        <v>0</v>
      </c>
      <c r="R55" t="e">
        <v>#N/A</v>
      </c>
      <c r="S55" t="e">
        <v>#N/A</v>
      </c>
      <c r="T55">
        <v>0</v>
      </c>
      <c r="U55">
        <v>0</v>
      </c>
      <c r="V55" t="e">
        <v>#N/A</v>
      </c>
      <c r="W55">
        <v>0</v>
      </c>
      <c r="X55">
        <v>0</v>
      </c>
      <c r="Y55" t="e">
        <v>#N/A</v>
      </c>
      <c r="Z55">
        <v>0</v>
      </c>
      <c r="AA55">
        <v>0</v>
      </c>
      <c r="AB55" t="e">
        <v>#N/A</v>
      </c>
      <c r="AC55">
        <v>0</v>
      </c>
      <c r="AE55">
        <f t="shared" si="0"/>
        <v>12306</v>
      </c>
      <c r="AF55">
        <f t="shared" si="1"/>
        <v>12318</v>
      </c>
      <c r="AG55">
        <f t="shared" si="2"/>
        <v>0</v>
      </c>
      <c r="AH55">
        <f t="shared" si="3"/>
        <v>0</v>
      </c>
      <c r="AI55">
        <f t="shared" si="4"/>
        <v>0</v>
      </c>
      <c r="AJ55">
        <f t="shared" si="5"/>
        <v>0</v>
      </c>
    </row>
    <row r="56" spans="1:36">
      <c r="D56" s="102"/>
      <c r="E56" s="102"/>
    </row>
    <row r="57" spans="1:36">
      <c r="D57"/>
      <c r="E57"/>
    </row>
    <row r="58" spans="1:36">
      <c r="D58"/>
      <c r="E58"/>
    </row>
    <row r="59" spans="1:36">
      <c r="D59"/>
      <c r="E59"/>
    </row>
    <row r="60" spans="1:36">
      <c r="D60"/>
      <c r="E60"/>
    </row>
  </sheetData>
  <autoFilter ref="A1:AJ55" xr:uid="{739FD9C0-0A88-4EBA-AC69-634EC11C85EF}"/>
  <pageMargins left="0.7" right="0.7" top="0.78740157499999996" bottom="0.78740157499999996"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0"/>
  <sheetViews>
    <sheetView showGridLines="0" showRowColHeaders="0" zoomScale="80" zoomScaleNormal="80" workbookViewId="0">
      <selection activeCell="P2" sqref="P2:S3"/>
    </sheetView>
  </sheetViews>
  <sheetFormatPr defaultColWidth="0" defaultRowHeight="15" zeroHeight="1"/>
  <cols>
    <col min="1" max="1" width="9" customWidth="1"/>
    <col min="2" max="2" width="21.85546875" customWidth="1"/>
    <col min="3" max="7" width="24.28515625" customWidth="1"/>
    <col min="8" max="8" width="19.140625" customWidth="1"/>
    <col min="9" max="19" width="8.85546875" customWidth="1"/>
    <col min="20" max="16384" width="8.85546875" hidden="1"/>
  </cols>
  <sheetData>
    <row r="1" spans="1:19"/>
    <row r="2" spans="1:19">
      <c r="A2" s="531"/>
      <c r="B2" s="531"/>
      <c r="C2" s="531"/>
      <c r="D2" s="531"/>
      <c r="E2" s="531"/>
      <c r="F2" s="531"/>
      <c r="G2" s="531"/>
      <c r="H2" s="531"/>
      <c r="I2" s="531"/>
      <c r="J2" s="531"/>
      <c r="K2" s="531"/>
      <c r="L2" s="531"/>
      <c r="M2" s="531"/>
      <c r="N2" s="531"/>
      <c r="O2" s="531"/>
      <c r="P2" s="532" t="str">
        <f>"Powrót"</f>
        <v>Powrót</v>
      </c>
      <c r="Q2" s="533"/>
      <c r="R2" s="533"/>
      <c r="S2" s="533"/>
    </row>
    <row r="3" spans="1:19">
      <c r="A3" s="531"/>
      <c r="B3" s="531"/>
      <c r="C3" s="531"/>
      <c r="D3" s="531"/>
      <c r="E3" s="531"/>
      <c r="F3" s="531"/>
      <c r="G3" s="531"/>
      <c r="H3" s="531"/>
      <c r="I3" s="531"/>
      <c r="J3" s="531"/>
      <c r="K3" s="531"/>
      <c r="L3" s="531"/>
      <c r="M3" s="531"/>
      <c r="N3" s="531"/>
      <c r="O3" s="531"/>
      <c r="P3" s="532"/>
      <c r="Q3" s="533"/>
      <c r="R3" s="533"/>
      <c r="S3" s="533"/>
    </row>
    <row r="4" spans="1:19"/>
    <row r="5" spans="1:19"/>
    <row r="6" spans="1:19"/>
    <row r="7" spans="1:19"/>
    <row r="8" spans="1:19"/>
    <row r="9" spans="1:19"/>
    <row r="10" spans="1:19"/>
    <row r="11" spans="1:19" ht="15.75" thickBot="1"/>
    <row r="12" spans="1:19" ht="39.75" customHeight="1" thickBot="1">
      <c r="B12" s="538" t="s">
        <v>4707</v>
      </c>
      <c r="C12" s="539"/>
      <c r="D12" s="539"/>
      <c r="E12" s="539"/>
      <c r="F12" s="539"/>
      <c r="G12" s="540"/>
    </row>
    <row r="13" spans="1:19" ht="21" customHeight="1">
      <c r="B13" s="500"/>
      <c r="C13" s="537" t="s">
        <v>5472</v>
      </c>
      <c r="D13" s="537"/>
      <c r="E13" s="541" t="s">
        <v>4689</v>
      </c>
      <c r="F13" s="541"/>
      <c r="G13" s="542"/>
    </row>
    <row r="14" spans="1:19">
      <c r="B14" s="477" t="s">
        <v>4688</v>
      </c>
      <c r="C14" s="473" t="s">
        <v>4686</v>
      </c>
      <c r="D14" s="473" t="s">
        <v>4687</v>
      </c>
      <c r="E14" s="472" t="s">
        <v>4690</v>
      </c>
      <c r="F14" s="472" t="s">
        <v>4720</v>
      </c>
      <c r="G14" s="478" t="s">
        <v>4691</v>
      </c>
    </row>
    <row r="15" spans="1:19">
      <c r="B15" s="501" t="s">
        <v>4719</v>
      </c>
      <c r="C15" s="498" t="s">
        <v>4698</v>
      </c>
      <c r="D15" s="498" t="s">
        <v>4699</v>
      </c>
      <c r="E15" s="499" t="s">
        <v>4700</v>
      </c>
      <c r="F15" s="499" t="s">
        <v>4701</v>
      </c>
      <c r="G15" s="502" t="s">
        <v>4702</v>
      </c>
    </row>
    <row r="16" spans="1:19" ht="15.75" thickBot="1">
      <c r="B16" s="479" t="s">
        <v>5471</v>
      </c>
      <c r="C16" s="503" t="s">
        <v>5468</v>
      </c>
      <c r="D16" s="503" t="s">
        <v>5469</v>
      </c>
      <c r="E16" s="543" t="s">
        <v>5470</v>
      </c>
      <c r="F16" s="543"/>
      <c r="G16" s="544"/>
    </row>
    <row r="17" spans="2:19"/>
    <row r="18" spans="2:19"/>
    <row r="19" spans="2:19"/>
    <row r="20" spans="2:19" ht="15.75" thickBot="1"/>
    <row r="21" spans="2:19" ht="39.75" customHeight="1" thickBot="1">
      <c r="B21" s="538" t="s">
        <v>4692</v>
      </c>
      <c r="C21" s="539"/>
      <c r="D21" s="539"/>
      <c r="E21" s="539"/>
      <c r="F21" s="539"/>
      <c r="G21" s="540"/>
      <c r="H21" s="474"/>
      <c r="P21" s="536" t="str">
        <f>IF(Posuv!I17="Dostawa na adres","Ramki przesuwne","")</f>
        <v/>
      </c>
      <c r="Q21" s="536"/>
      <c r="R21" s="536"/>
      <c r="S21" s="536"/>
    </row>
    <row r="22" spans="2:19" ht="18.75" customHeight="1">
      <c r="B22" s="506" t="s">
        <v>4693</v>
      </c>
      <c r="C22" s="507" t="s">
        <v>4694</v>
      </c>
      <c r="D22" s="507" t="s">
        <v>5473</v>
      </c>
      <c r="E22" s="507" t="s">
        <v>5474</v>
      </c>
      <c r="F22" s="508" t="s">
        <v>5475</v>
      </c>
      <c r="G22" s="509" t="s">
        <v>5476</v>
      </c>
      <c r="H22" s="475"/>
    </row>
    <row r="23" spans="2:19">
      <c r="B23" s="501" t="s">
        <v>4719</v>
      </c>
      <c r="C23" s="498" t="s">
        <v>4703</v>
      </c>
      <c r="D23" s="498" t="s">
        <v>4704</v>
      </c>
      <c r="E23" s="498" t="s">
        <v>4705</v>
      </c>
      <c r="F23" s="505" t="s">
        <v>4706</v>
      </c>
      <c r="G23" s="510" t="s">
        <v>5477</v>
      </c>
      <c r="H23" s="327"/>
      <c r="P23" s="535" t="s">
        <v>2400</v>
      </c>
      <c r="Q23" s="535"/>
      <c r="R23" s="535"/>
      <c r="S23" s="535"/>
    </row>
    <row r="24" spans="2:19" ht="15.75" thickBot="1">
      <c r="B24" s="479" t="s">
        <v>5471</v>
      </c>
      <c r="C24" s="503" t="s">
        <v>5478</v>
      </c>
      <c r="D24" s="503" t="s">
        <v>5478</v>
      </c>
      <c r="E24" s="503" t="s">
        <v>5480</v>
      </c>
      <c r="F24" s="503" t="s">
        <v>5480</v>
      </c>
      <c r="G24" s="504" t="s">
        <v>5479</v>
      </c>
      <c r="H24" s="476"/>
      <c r="P24" s="535"/>
      <c r="Q24" s="535"/>
      <c r="R24" s="535"/>
      <c r="S24" s="535"/>
    </row>
    <row r="25" spans="2:19"/>
    <row r="26" spans="2:19" ht="15" customHeight="1">
      <c r="P26" s="534" t="s">
        <v>2190</v>
      </c>
      <c r="Q26" s="534"/>
      <c r="R26" s="534"/>
      <c r="S26" s="534"/>
    </row>
    <row r="27" spans="2:19" ht="15" customHeight="1">
      <c r="P27" s="534"/>
      <c r="Q27" s="534"/>
      <c r="R27" s="534"/>
      <c r="S27" s="534"/>
    </row>
    <row r="28" spans="2:19"/>
    <row r="29" spans="2:19"/>
    <row r="30" spans="2:19"/>
  </sheetData>
  <sheetProtection algorithmName="SHA-512" hashValue="1T3qLqYdGhJPcU1zHM0fbgnGKYvL42ymlwQAF2XDNXI/5Jwc7OnT1gAC3qgzDIxCq7W3XPJ1GvLGAJvn2hxMHQ==" saltValue="k0i2ZtV1PnGTH6TWzuhJdA==" spinCount="100000" sheet="1" objects="1" scenarios="1"/>
  <mergeCells count="10">
    <mergeCell ref="A2:O3"/>
    <mergeCell ref="P2:S3"/>
    <mergeCell ref="P26:S27"/>
    <mergeCell ref="P23:S24"/>
    <mergeCell ref="P21:S21"/>
    <mergeCell ref="C13:D13"/>
    <mergeCell ref="B12:G12"/>
    <mergeCell ref="E13:G13"/>
    <mergeCell ref="E16:G16"/>
    <mergeCell ref="B21:G21"/>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29495-ABA7-45A8-96D2-DA7D4CE1B598}">
  <sheetPr codeName="List22"/>
  <dimension ref="A1:Y1073"/>
  <sheetViews>
    <sheetView workbookViewId="0"/>
  </sheetViews>
  <sheetFormatPr defaultColWidth="8.5703125" defaultRowHeight="15"/>
  <cols>
    <col min="1" max="1" width="19.5703125" customWidth="1"/>
    <col min="2" max="2" width="37.5703125" customWidth="1"/>
    <col min="3" max="3" width="28.140625" customWidth="1"/>
    <col min="4" max="4" width="34.42578125" bestFit="1" customWidth="1"/>
    <col min="5" max="5" width="19" bestFit="1" customWidth="1"/>
    <col min="6" max="6" width="10.5703125" bestFit="1" customWidth="1"/>
    <col min="7" max="7" width="10.42578125" bestFit="1" customWidth="1"/>
    <col min="8" max="8" width="10.5703125" bestFit="1" customWidth="1"/>
    <col min="9" max="9" width="10.42578125" bestFit="1" customWidth="1"/>
    <col min="10" max="10" width="10.5703125" bestFit="1" customWidth="1"/>
    <col min="11" max="11" width="10.42578125" bestFit="1" customWidth="1"/>
    <col min="12" max="12" width="10.5703125" bestFit="1" customWidth="1"/>
    <col min="13" max="14" width="10.5703125" customWidth="1"/>
    <col min="15" max="15" width="31.42578125" style="11" customWidth="1"/>
    <col min="16" max="19" width="27.42578125" customWidth="1"/>
  </cols>
  <sheetData>
    <row r="1" spans="1:25">
      <c r="B1" t="s">
        <v>64</v>
      </c>
      <c r="C1" t="s">
        <v>65</v>
      </c>
      <c r="D1">
        <v>1</v>
      </c>
      <c r="E1" t="s">
        <v>65</v>
      </c>
      <c r="G1" t="s">
        <v>66</v>
      </c>
      <c r="I1" t="s">
        <v>67</v>
      </c>
      <c r="K1" t="s">
        <v>68</v>
      </c>
      <c r="O1" s="11" t="s">
        <v>65</v>
      </c>
      <c r="P1" t="s">
        <v>66</v>
      </c>
      <c r="Q1" t="s">
        <v>67</v>
      </c>
      <c r="R1" t="s">
        <v>68</v>
      </c>
      <c r="T1" t="s">
        <v>8</v>
      </c>
      <c r="U1" t="s">
        <v>6</v>
      </c>
    </row>
    <row r="2" spans="1:25">
      <c r="C2">
        <v>2</v>
      </c>
      <c r="D2">
        <v>3</v>
      </c>
      <c r="E2">
        <v>4</v>
      </c>
      <c r="F2">
        <v>5</v>
      </c>
      <c r="G2">
        <v>6</v>
      </c>
      <c r="H2">
        <v>7</v>
      </c>
      <c r="I2">
        <v>8</v>
      </c>
      <c r="J2">
        <v>9</v>
      </c>
      <c r="K2">
        <v>10</v>
      </c>
      <c r="L2">
        <v>11</v>
      </c>
      <c r="M2">
        <v>12</v>
      </c>
      <c r="N2">
        <v>13</v>
      </c>
      <c r="O2">
        <v>14</v>
      </c>
      <c r="P2">
        <v>15</v>
      </c>
      <c r="Q2">
        <v>16</v>
      </c>
      <c r="R2">
        <v>17</v>
      </c>
      <c r="S2">
        <v>18</v>
      </c>
      <c r="T2">
        <v>19</v>
      </c>
      <c r="U2">
        <v>20</v>
      </c>
    </row>
    <row r="3" spans="1:25">
      <c r="B3" s="2"/>
      <c r="C3" s="2"/>
      <c r="D3" s="2"/>
      <c r="E3" s="2"/>
      <c r="F3" s="2"/>
      <c r="G3" s="3" t="s">
        <v>19</v>
      </c>
      <c r="H3" s="4">
        <v>25</v>
      </c>
      <c r="I3" s="3" t="s">
        <v>19</v>
      </c>
      <c r="J3" s="4">
        <v>6.5</v>
      </c>
      <c r="K3" s="3" t="s">
        <v>971</v>
      </c>
      <c r="L3" s="4">
        <v>9.1999999999999993</v>
      </c>
      <c r="M3" s="105"/>
      <c r="N3" s="105"/>
    </row>
    <row r="4" spans="1:25">
      <c r="B4" s="5" t="s">
        <v>20</v>
      </c>
      <c r="C4" s="883" t="s">
        <v>21</v>
      </c>
      <c r="D4" s="884"/>
      <c r="E4" s="883" t="s">
        <v>21</v>
      </c>
      <c r="F4" s="884"/>
      <c r="G4" s="883" t="s">
        <v>22</v>
      </c>
      <c r="H4" s="884"/>
      <c r="I4" s="883" t="s">
        <v>23</v>
      </c>
      <c r="J4" s="884"/>
      <c r="K4" s="883" t="s">
        <v>24</v>
      </c>
      <c r="L4" s="884"/>
      <c r="M4" s="106"/>
      <c r="N4" s="106"/>
    </row>
    <row r="5" spans="1:25">
      <c r="B5" s="59" t="s">
        <v>25</v>
      </c>
      <c r="C5" s="60" t="s">
        <v>26</v>
      </c>
      <c r="D5" s="61" t="s">
        <v>27</v>
      </c>
      <c r="E5" s="60" t="s">
        <v>26</v>
      </c>
      <c r="F5" s="61" t="s">
        <v>27</v>
      </c>
      <c r="G5" s="60" t="s">
        <v>26</v>
      </c>
      <c r="H5" s="61" t="s">
        <v>27</v>
      </c>
      <c r="I5" s="60" t="s">
        <v>26</v>
      </c>
      <c r="J5" s="61" t="s">
        <v>27</v>
      </c>
      <c r="K5" s="60" t="s">
        <v>26</v>
      </c>
      <c r="L5" s="61" t="s">
        <v>27</v>
      </c>
      <c r="M5" s="107"/>
      <c r="N5" s="107"/>
      <c r="O5" s="11" t="s">
        <v>65</v>
      </c>
      <c r="P5" t="s">
        <v>66</v>
      </c>
      <c r="Q5" t="s">
        <v>67</v>
      </c>
      <c r="R5" t="s">
        <v>68</v>
      </c>
      <c r="S5" t="s">
        <v>1573</v>
      </c>
      <c r="T5" t="s">
        <v>8</v>
      </c>
      <c r="U5" t="s">
        <v>6</v>
      </c>
    </row>
    <row r="6" spans="1:25">
      <c r="A6" s="2" t="s">
        <v>947</v>
      </c>
      <c r="B6" s="104" t="str">
        <f t="shared" ref="B6:B47" si="0">IF($D$1=1,O:O,IF($D$1=2,P:P,IF($D$1=3,Q:Q,IF($D$1=4,R:R,IF($D$1=5,S:S)))))</f>
        <v>BRW (elox.)</v>
      </c>
      <c r="C6" s="108">
        <f t="shared" ref="C6:C47" si="1">IF($D$1=1,E:E,IF($D$1=2,G:G,IF($D$1=3,I:I,IF($D$1=4,K:K,IF($D$1=5,M:M)))))</f>
        <v>212.18</v>
      </c>
      <c r="D6" s="108">
        <f t="shared" ref="D6:D47" si="2">IF($D$1=1,F:F,IF($D$1=2,H:H,IF($D$1=3,J:J,IF($D$1=4,L:L,IF($D$1=5,N:N)))))</f>
        <v>92.7</v>
      </c>
      <c r="E6" s="22">
        <v>212.18</v>
      </c>
      <c r="F6" s="22">
        <v>92.7</v>
      </c>
      <c r="G6" s="63">
        <v>6.2856381923076921</v>
      </c>
      <c r="H6" s="63">
        <v>3.4277639423076924</v>
      </c>
      <c r="I6" s="63">
        <v>31.692307692307693</v>
      </c>
      <c r="J6" s="63">
        <v>13.846153846153847</v>
      </c>
      <c r="K6" s="64">
        <v>2239.130434782609</v>
      </c>
      <c r="L6" s="64">
        <v>978.26086956521738</v>
      </c>
      <c r="M6" s="64"/>
      <c r="N6" s="64"/>
      <c r="O6" s="51" t="s">
        <v>947</v>
      </c>
      <c r="P6" s="51" t="s">
        <v>947</v>
      </c>
      <c r="Q6" s="51" t="s">
        <v>947</v>
      </c>
      <c r="R6" s="51" t="s">
        <v>947</v>
      </c>
      <c r="S6" s="51" t="s">
        <v>1574</v>
      </c>
      <c r="T6" s="66">
        <v>1</v>
      </c>
      <c r="U6" s="66">
        <v>1</v>
      </c>
      <c r="Y6" t="s">
        <v>947</v>
      </c>
    </row>
    <row r="7" spans="1:25">
      <c r="A7" s="2" t="s">
        <v>1299</v>
      </c>
      <c r="B7" s="104" t="str">
        <f t="shared" si="0"/>
        <v>BRW antracit</v>
      </c>
      <c r="C7" s="108">
        <f t="shared" si="1"/>
        <v>424.36</v>
      </c>
      <c r="D7" s="108">
        <f t="shared" si="2"/>
        <v>112.27</v>
      </c>
      <c r="E7" s="22">
        <v>424.36</v>
      </c>
      <c r="F7" s="22">
        <v>112.27</v>
      </c>
      <c r="G7" s="63">
        <v>11.554309250000001</v>
      </c>
      <c r="H7" s="63">
        <v>3.4277639423076924</v>
      </c>
      <c r="I7" s="63">
        <v>63.384615384615387</v>
      </c>
      <c r="J7" s="63">
        <v>16.76923076923077</v>
      </c>
      <c r="K7" s="64">
        <v>4478.2608695652179</v>
      </c>
      <c r="L7" s="64">
        <v>1184.7826086956522</v>
      </c>
      <c r="M7" s="64"/>
      <c r="N7" s="64"/>
      <c r="O7" s="51" t="s">
        <v>1299</v>
      </c>
      <c r="P7" s="51" t="s">
        <v>1299</v>
      </c>
      <c r="Q7" s="62" t="s">
        <v>1307</v>
      </c>
      <c r="R7" s="51" t="s">
        <v>1307</v>
      </c>
      <c r="S7" s="51" t="s">
        <v>1575</v>
      </c>
      <c r="T7" s="66">
        <v>1</v>
      </c>
      <c r="U7" s="66">
        <v>1</v>
      </c>
      <c r="Y7" t="s">
        <v>1299</v>
      </c>
    </row>
    <row r="8" spans="1:25">
      <c r="A8" s="2" t="s">
        <v>1498</v>
      </c>
      <c r="B8" s="104" t="str">
        <f t="shared" si="0"/>
        <v>BRW bílá mat</v>
      </c>
      <c r="C8" s="108">
        <f t="shared" si="1"/>
        <v>424.36</v>
      </c>
      <c r="D8" s="108">
        <f t="shared" si="2"/>
        <v>112.27</v>
      </c>
      <c r="E8" s="22">
        <v>424.36</v>
      </c>
      <c r="F8" s="22">
        <v>112.27</v>
      </c>
      <c r="G8" s="63">
        <v>11.554309250000001</v>
      </c>
      <c r="H8" s="63">
        <v>3.4277639423076924</v>
      </c>
      <c r="I8" s="63">
        <v>63.384615384615387</v>
      </c>
      <c r="J8" s="63">
        <v>16.76923076923077</v>
      </c>
      <c r="K8" s="64">
        <v>4478.2608695652179</v>
      </c>
      <c r="L8" s="64">
        <v>1184.7826086956522</v>
      </c>
      <c r="M8" s="64"/>
      <c r="N8" s="64"/>
      <c r="O8" s="51" t="s">
        <v>1496</v>
      </c>
      <c r="P8" s="51" t="s">
        <v>1497</v>
      </c>
      <c r="Q8" s="62" t="s">
        <v>1498</v>
      </c>
      <c r="R8" s="51" t="s">
        <v>1499</v>
      </c>
      <c r="S8" s="51" t="s">
        <v>1576</v>
      </c>
      <c r="T8" s="66">
        <v>1</v>
      </c>
      <c r="U8" s="66">
        <v>1</v>
      </c>
      <c r="Y8" t="s">
        <v>1496</v>
      </c>
    </row>
    <row r="9" spans="1:25">
      <c r="A9" s="2" t="s">
        <v>1502</v>
      </c>
      <c r="B9" s="104" t="str">
        <f t="shared" si="0"/>
        <v>BRW bílá lesk</v>
      </c>
      <c r="C9" s="108">
        <f t="shared" si="1"/>
        <v>424.36</v>
      </c>
      <c r="D9" s="108">
        <f t="shared" si="2"/>
        <v>112.27</v>
      </c>
      <c r="E9" s="22">
        <v>424.36</v>
      </c>
      <c r="F9" s="22">
        <v>112.27</v>
      </c>
      <c r="G9" s="63">
        <v>11.55</v>
      </c>
      <c r="H9" s="63">
        <v>3.43</v>
      </c>
      <c r="I9" s="63">
        <v>63.38</v>
      </c>
      <c r="J9" s="63">
        <v>16.77</v>
      </c>
      <c r="K9" s="64">
        <v>4478</v>
      </c>
      <c r="L9" s="64">
        <v>1185</v>
      </c>
      <c r="M9" s="64"/>
      <c r="N9" s="64"/>
      <c r="O9" s="51" t="s">
        <v>1500</v>
      </c>
      <c r="P9" s="51" t="s">
        <v>1501</v>
      </c>
      <c r="Q9" s="62" t="s">
        <v>1502</v>
      </c>
      <c r="R9" s="51" t="s">
        <v>1503</v>
      </c>
      <c r="S9" s="51" t="s">
        <v>1577</v>
      </c>
      <c r="T9" s="66">
        <v>1</v>
      </c>
      <c r="U9" s="66">
        <v>1</v>
      </c>
    </row>
    <row r="10" spans="1:25">
      <c r="A10" s="2" t="s">
        <v>1300</v>
      </c>
      <c r="B10" s="104" t="str">
        <f t="shared" si="0"/>
        <v>BRW hnědá</v>
      </c>
      <c r="C10" s="108">
        <f t="shared" si="1"/>
        <v>340.93</v>
      </c>
      <c r="D10" s="108">
        <f t="shared" si="2"/>
        <v>112.27</v>
      </c>
      <c r="E10" s="22">
        <v>340.93</v>
      </c>
      <c r="F10" s="22">
        <v>112.27</v>
      </c>
      <c r="G10" s="63">
        <v>7.9469994153846164</v>
      </c>
      <c r="H10" s="63">
        <v>3.4277639423076924</v>
      </c>
      <c r="I10" s="63">
        <v>50.92307692307692</v>
      </c>
      <c r="J10" s="63">
        <v>16.76923076923077</v>
      </c>
      <c r="K10" s="64">
        <v>3597.826086956522</v>
      </c>
      <c r="L10" s="64">
        <v>1184.7826086956522</v>
      </c>
      <c r="M10" s="64"/>
      <c r="N10" s="64"/>
      <c r="O10" s="51" t="s">
        <v>1308</v>
      </c>
      <c r="P10" s="51" t="s">
        <v>1308</v>
      </c>
      <c r="Q10" s="62" t="s">
        <v>1300</v>
      </c>
      <c r="R10" s="51" t="s">
        <v>1309</v>
      </c>
      <c r="S10" s="51" t="s">
        <v>1578</v>
      </c>
      <c r="T10" s="66">
        <v>1</v>
      </c>
      <c r="U10" s="66">
        <v>1</v>
      </c>
      <c r="Y10" t="s">
        <v>1308</v>
      </c>
    </row>
    <row r="11" spans="1:25">
      <c r="A11" s="2" t="s">
        <v>950</v>
      </c>
      <c r="B11" s="104" t="str">
        <f t="shared" si="0"/>
        <v>BRW broušené</v>
      </c>
      <c r="C11" s="108">
        <f t="shared" si="1"/>
        <v>391.40000000000003</v>
      </c>
      <c r="D11" s="108">
        <f t="shared" si="2"/>
        <v>112.27</v>
      </c>
      <c r="E11" s="22">
        <v>391.40000000000003</v>
      </c>
      <c r="F11" s="22">
        <v>112.27</v>
      </c>
      <c r="G11" s="63">
        <v>11.604608653846155</v>
      </c>
      <c r="H11" s="63">
        <v>3.4277639423076924</v>
      </c>
      <c r="I11" s="63">
        <v>58.46153846153846</v>
      </c>
      <c r="J11" s="63">
        <v>16.76923076923077</v>
      </c>
      <c r="K11" s="64">
        <v>4130.434782608696</v>
      </c>
      <c r="L11" s="64">
        <v>1184.7826086956522</v>
      </c>
      <c r="M11" s="64"/>
      <c r="N11" s="64"/>
      <c r="O11" s="52" t="s">
        <v>948</v>
      </c>
      <c r="P11" s="52" t="s">
        <v>949</v>
      </c>
      <c r="Q11" s="52" t="s">
        <v>950</v>
      </c>
      <c r="R11" s="52" t="s">
        <v>951</v>
      </c>
      <c r="S11" s="51" t="s">
        <v>1579</v>
      </c>
      <c r="T11" s="66">
        <v>1</v>
      </c>
      <c r="U11" s="66">
        <v>1</v>
      </c>
      <c r="Y11" t="s">
        <v>948</v>
      </c>
    </row>
    <row r="12" spans="1:25">
      <c r="A12" s="2" t="s">
        <v>1514</v>
      </c>
      <c r="B12" s="104" t="str">
        <f t="shared" si="0"/>
        <v>BRW černá mat</v>
      </c>
      <c r="C12" s="108">
        <f t="shared" si="1"/>
        <v>340.93</v>
      </c>
      <c r="D12" s="108">
        <f t="shared" si="2"/>
        <v>112.27</v>
      </c>
      <c r="E12" s="22">
        <v>340.93</v>
      </c>
      <c r="F12" s="22">
        <v>112.27</v>
      </c>
      <c r="G12" s="63">
        <v>7.9469994153846164</v>
      </c>
      <c r="H12" s="63">
        <v>3.4277639423076924</v>
      </c>
      <c r="I12" s="63">
        <v>50.92307692307692</v>
      </c>
      <c r="J12" s="63">
        <v>16.76923076923077</v>
      </c>
      <c r="K12" s="64">
        <v>3597.826086956522</v>
      </c>
      <c r="L12" s="64">
        <v>1184.7826086956522</v>
      </c>
      <c r="M12" s="64"/>
      <c r="N12" s="64"/>
      <c r="O12" s="52" t="s">
        <v>1488</v>
      </c>
      <c r="P12" s="52" t="s">
        <v>1489</v>
      </c>
      <c r="Q12" s="52" t="s">
        <v>1490</v>
      </c>
      <c r="R12" s="52" t="s">
        <v>1491</v>
      </c>
      <c r="S12" s="51" t="s">
        <v>1580</v>
      </c>
      <c r="T12" s="66">
        <v>1</v>
      </c>
      <c r="U12" s="66">
        <v>1</v>
      </c>
      <c r="Y12" t="s">
        <v>1488</v>
      </c>
    </row>
    <row r="13" spans="1:25">
      <c r="A13" s="2" t="s">
        <v>1515</v>
      </c>
      <c r="B13" s="104" t="str">
        <f t="shared" si="0"/>
        <v>BRW černá lesk</v>
      </c>
      <c r="C13" s="108">
        <f t="shared" si="1"/>
        <v>496.46000000000004</v>
      </c>
      <c r="D13" s="108">
        <f t="shared" si="2"/>
        <v>112.27</v>
      </c>
      <c r="E13" s="22">
        <v>496.46000000000004</v>
      </c>
      <c r="F13" s="22">
        <v>112.27</v>
      </c>
      <c r="G13" s="63">
        <v>11.58</v>
      </c>
      <c r="H13" s="63">
        <v>3.43</v>
      </c>
      <c r="I13" s="63">
        <v>74.150000000000006</v>
      </c>
      <c r="J13" s="63">
        <v>16.77</v>
      </c>
      <c r="K13" s="64">
        <v>5239</v>
      </c>
      <c r="L13" s="64">
        <v>1185</v>
      </c>
      <c r="M13" s="64"/>
      <c r="N13" s="64"/>
      <c r="O13" s="52" t="s">
        <v>1492</v>
      </c>
      <c r="P13" s="52" t="s">
        <v>1493</v>
      </c>
      <c r="Q13" s="52" t="s">
        <v>1494</v>
      </c>
      <c r="R13" s="52" t="s">
        <v>1495</v>
      </c>
      <c r="S13" s="51" t="s">
        <v>1581</v>
      </c>
      <c r="T13" s="66">
        <v>1</v>
      </c>
      <c r="U13" s="66">
        <v>1</v>
      </c>
    </row>
    <row r="14" spans="1:25">
      <c r="A14" s="2" t="s">
        <v>954</v>
      </c>
      <c r="B14" s="104" t="str">
        <f t="shared" si="0"/>
        <v>BRW černá broušená</v>
      </c>
      <c r="C14" s="108">
        <f t="shared" si="1"/>
        <v>355.35</v>
      </c>
      <c r="D14" s="108">
        <f t="shared" si="2"/>
        <v>112.27</v>
      </c>
      <c r="E14" s="22">
        <v>355.35</v>
      </c>
      <c r="F14" s="22">
        <v>112.27</v>
      </c>
      <c r="G14" s="63">
        <v>7.9741662000000018</v>
      </c>
      <c r="H14" s="63">
        <v>3.4277639423076924</v>
      </c>
      <c r="I14" s="63">
        <v>53.07692307692308</v>
      </c>
      <c r="J14" s="63">
        <v>16.76923076923077</v>
      </c>
      <c r="K14" s="64">
        <v>3750</v>
      </c>
      <c r="L14" s="64">
        <v>1184.7826086956522</v>
      </c>
      <c r="M14" s="64"/>
      <c r="N14" s="64"/>
      <c r="O14" s="52" t="s">
        <v>952</v>
      </c>
      <c r="P14" s="52" t="s">
        <v>953</v>
      </c>
      <c r="Q14" s="52" t="s">
        <v>954</v>
      </c>
      <c r="R14" s="52" t="s">
        <v>955</v>
      </c>
      <c r="S14" s="51" t="s">
        <v>1582</v>
      </c>
      <c r="T14" s="66">
        <v>1</v>
      </c>
      <c r="U14" s="66">
        <v>1</v>
      </c>
      <c r="Y14" t="s">
        <v>952</v>
      </c>
    </row>
    <row r="15" spans="1:25">
      <c r="A15" s="2" t="s">
        <v>1301</v>
      </c>
      <c r="B15" s="104" t="str">
        <f t="shared" si="0"/>
        <v>BRW světlá nerez (ACIER GRATA)</v>
      </c>
      <c r="C15" s="108">
        <f t="shared" si="1"/>
        <v>352.26</v>
      </c>
      <c r="D15" s="108">
        <f t="shared" si="2"/>
        <v>112.27</v>
      </c>
      <c r="E15" s="22">
        <v>352.26</v>
      </c>
      <c r="F15" s="22">
        <v>112.27</v>
      </c>
      <c r="G15" s="63">
        <v>8.147737442307692</v>
      </c>
      <c r="H15" s="63">
        <v>3.4277639423076924</v>
      </c>
      <c r="I15" s="63">
        <v>52.615384615384613</v>
      </c>
      <c r="J15" s="63">
        <v>16.76923076923077</v>
      </c>
      <c r="K15" s="64">
        <v>3717.3913043478265</v>
      </c>
      <c r="L15" s="64">
        <v>1184.7826086956522</v>
      </c>
      <c r="M15" s="64"/>
      <c r="N15" s="64"/>
      <c r="O15" s="52" t="s">
        <v>1310</v>
      </c>
      <c r="P15" s="52" t="s">
        <v>1311</v>
      </c>
      <c r="Q15" s="52" t="s">
        <v>1312</v>
      </c>
      <c r="R15" s="52" t="s">
        <v>1313</v>
      </c>
      <c r="S15" s="51" t="s">
        <v>1583</v>
      </c>
      <c r="T15" s="66">
        <v>1</v>
      </c>
      <c r="U15" s="66">
        <v>1</v>
      </c>
      <c r="Y15" t="s">
        <v>1310</v>
      </c>
    </row>
    <row r="16" spans="1:25">
      <c r="A16" s="2" t="s">
        <v>377</v>
      </c>
      <c r="B16" s="104" t="str">
        <f t="shared" si="0"/>
        <v>BRW champagne</v>
      </c>
      <c r="C16" s="108">
        <f t="shared" si="1"/>
        <v>340.93</v>
      </c>
      <c r="D16" s="108">
        <f t="shared" si="2"/>
        <v>112.27</v>
      </c>
      <c r="E16" s="22">
        <v>340.93</v>
      </c>
      <c r="F16" s="22">
        <v>112.27</v>
      </c>
      <c r="G16" s="63">
        <v>7.9472036769230776</v>
      </c>
      <c r="H16" s="63">
        <v>3.4277639423076924</v>
      </c>
      <c r="I16" s="63">
        <v>50.92307692307692</v>
      </c>
      <c r="J16" s="63">
        <v>16.76923076923077</v>
      </c>
      <c r="K16" s="64">
        <v>3597.826086956522</v>
      </c>
      <c r="L16" s="64">
        <v>1184.7826086956522</v>
      </c>
      <c r="M16" s="64"/>
      <c r="N16" s="64"/>
      <c r="O16" s="52" t="s">
        <v>29</v>
      </c>
      <c r="P16" s="52" t="s">
        <v>29</v>
      </c>
      <c r="Q16" s="52" t="s">
        <v>377</v>
      </c>
      <c r="R16" s="52" t="s">
        <v>584</v>
      </c>
      <c r="S16" s="51" t="s">
        <v>29</v>
      </c>
      <c r="T16" s="66">
        <v>1</v>
      </c>
      <c r="U16" s="66">
        <v>1</v>
      </c>
      <c r="Y16" t="s">
        <v>29</v>
      </c>
    </row>
    <row r="17" spans="1:25">
      <c r="A17" s="2" t="s">
        <v>1302</v>
      </c>
      <c r="B17" s="104" t="str">
        <f t="shared" si="0"/>
        <v>BRW tmavá nerez br. (Inox lija)</v>
      </c>
      <c r="C17" s="108">
        <f t="shared" si="1"/>
        <v>352.26</v>
      </c>
      <c r="D17" s="108">
        <f t="shared" si="2"/>
        <v>112.27</v>
      </c>
      <c r="E17" s="22">
        <v>352.26</v>
      </c>
      <c r="F17" s="22">
        <v>112.27</v>
      </c>
      <c r="G17" s="63">
        <v>8.147737442307692</v>
      </c>
      <c r="H17" s="63">
        <v>3.4277639423076924</v>
      </c>
      <c r="I17" s="63">
        <v>52.615384615384613</v>
      </c>
      <c r="J17" s="63">
        <v>16.76923076923077</v>
      </c>
      <c r="K17" s="64">
        <v>3717.3913043478265</v>
      </c>
      <c r="L17" s="64">
        <v>1184.7826086956522</v>
      </c>
      <c r="M17" s="64"/>
      <c r="N17" s="64"/>
      <c r="O17" s="52" t="s">
        <v>1314</v>
      </c>
      <c r="P17" s="52" t="s">
        <v>1315</v>
      </c>
      <c r="Q17" s="65" t="s">
        <v>378</v>
      </c>
      <c r="R17" s="52" t="s">
        <v>585</v>
      </c>
      <c r="S17" s="51" t="s">
        <v>1584</v>
      </c>
      <c r="T17" s="66">
        <v>1</v>
      </c>
      <c r="U17" s="66">
        <v>1</v>
      </c>
      <c r="Y17" t="s">
        <v>1314</v>
      </c>
    </row>
    <row r="18" spans="1:25">
      <c r="A18" s="2" t="s">
        <v>956</v>
      </c>
      <c r="B18" s="104" t="str">
        <f t="shared" si="0"/>
        <v>Corleone (elox.)</v>
      </c>
      <c r="C18" s="108">
        <f t="shared" si="1"/>
        <v>391.40000000000003</v>
      </c>
      <c r="D18" s="108">
        <f t="shared" si="2"/>
        <v>161.71</v>
      </c>
      <c r="E18" s="22">
        <v>391.40000000000003</v>
      </c>
      <c r="F18" s="22">
        <v>161.71</v>
      </c>
      <c r="G18" s="63">
        <v>9.7074274846153852</v>
      </c>
      <c r="H18" s="63">
        <v>5.0516431730769238</v>
      </c>
      <c r="I18" s="63">
        <v>58.46153846153846</v>
      </c>
      <c r="J18" s="63">
        <v>24.153846153846153</v>
      </c>
      <c r="K18" s="64">
        <v>4130.434782608696</v>
      </c>
      <c r="L18" s="64">
        <v>1706.5217391304348</v>
      </c>
      <c r="M18" s="64"/>
      <c r="N18" s="64"/>
      <c r="O18" s="52" t="s">
        <v>956</v>
      </c>
      <c r="P18" s="52" t="s">
        <v>956</v>
      </c>
      <c r="Q18" s="65" t="s">
        <v>956</v>
      </c>
      <c r="R18" s="52" t="s">
        <v>956</v>
      </c>
      <c r="S18" s="51" t="s">
        <v>1585</v>
      </c>
      <c r="T18" s="66">
        <v>2</v>
      </c>
      <c r="U18" s="66">
        <v>1</v>
      </c>
      <c r="Y18" t="s">
        <v>956</v>
      </c>
    </row>
    <row r="19" spans="1:25">
      <c r="A19" s="2" t="s">
        <v>670</v>
      </c>
      <c r="B19" s="104" t="str">
        <f t="shared" si="0"/>
        <v>Corleone černé mat</v>
      </c>
      <c r="C19" s="108">
        <f t="shared" si="1"/>
        <v>504.7</v>
      </c>
      <c r="D19" s="108">
        <f t="shared" si="2"/>
        <v>161.71</v>
      </c>
      <c r="E19" s="22">
        <v>504.7</v>
      </c>
      <c r="F19" s="22">
        <v>161.71</v>
      </c>
      <c r="G19" s="63">
        <v>13.220011030769232</v>
      </c>
      <c r="H19" s="63">
        <v>5.0516431730769238</v>
      </c>
      <c r="I19" s="63">
        <v>75.384615384615387</v>
      </c>
      <c r="J19" s="63">
        <v>24.153846153846153</v>
      </c>
      <c r="K19" s="64">
        <v>5326.0869565217399</v>
      </c>
      <c r="L19" s="64">
        <v>1706.5217391304348</v>
      </c>
      <c r="M19" s="64"/>
      <c r="N19" s="64"/>
      <c r="O19" s="52" t="s">
        <v>1522</v>
      </c>
      <c r="P19" s="52" t="s">
        <v>1523</v>
      </c>
      <c r="Q19" s="65" t="s">
        <v>1524</v>
      </c>
      <c r="R19" s="52" t="s">
        <v>1525</v>
      </c>
      <c r="S19" s="51" t="s">
        <v>1586</v>
      </c>
      <c r="T19" s="66">
        <v>2</v>
      </c>
      <c r="U19" s="66">
        <v>1</v>
      </c>
      <c r="Y19" t="s">
        <v>1522</v>
      </c>
    </row>
    <row r="20" spans="1:25">
      <c r="A20" s="2" t="s">
        <v>958</v>
      </c>
      <c r="B20" s="104" t="str">
        <f t="shared" si="0"/>
        <v>Corleone champagne</v>
      </c>
      <c r="C20" s="108">
        <f t="shared" si="1"/>
        <v>504.7</v>
      </c>
      <c r="D20" s="108">
        <f t="shared" si="2"/>
        <v>161.71</v>
      </c>
      <c r="E20" s="22">
        <v>504.7</v>
      </c>
      <c r="F20" s="22">
        <v>161.71</v>
      </c>
      <c r="G20" s="63">
        <v>13.044141846153849</v>
      </c>
      <c r="H20" s="63">
        <v>5.0516431730769238</v>
      </c>
      <c r="I20" s="63">
        <v>75.384615384615387</v>
      </c>
      <c r="J20" s="63">
        <v>24.153846153846153</v>
      </c>
      <c r="K20" s="64">
        <v>5326.0869565217399</v>
      </c>
      <c r="L20" s="64">
        <v>1706.5217391304348</v>
      </c>
      <c r="M20" s="64"/>
      <c r="N20" s="64"/>
      <c r="O20" s="52" t="s">
        <v>957</v>
      </c>
      <c r="P20" s="52" t="s">
        <v>957</v>
      </c>
      <c r="Q20" s="65" t="s">
        <v>958</v>
      </c>
      <c r="R20" s="52" t="s">
        <v>959</v>
      </c>
      <c r="S20" s="51" t="s">
        <v>957</v>
      </c>
      <c r="T20" s="66">
        <v>2</v>
      </c>
      <c r="U20" s="66">
        <v>1</v>
      </c>
      <c r="Y20" t="s">
        <v>957</v>
      </c>
    </row>
    <row r="21" spans="1:25">
      <c r="A21" s="2" t="s">
        <v>960</v>
      </c>
      <c r="B21" s="104" t="str">
        <f t="shared" si="0"/>
        <v>Imola (elox.)</v>
      </c>
      <c r="C21" s="108">
        <f t="shared" si="1"/>
        <v>385.22</v>
      </c>
      <c r="D21" s="108">
        <f t="shared" si="2"/>
        <v>156.56</v>
      </c>
      <c r="E21" s="22">
        <v>385.22</v>
      </c>
      <c r="F21" s="22">
        <v>156.56</v>
      </c>
      <c r="G21" s="63">
        <v>9.5899260346153845</v>
      </c>
      <c r="H21" s="63">
        <v>5.0516431730769238</v>
      </c>
      <c r="I21" s="63">
        <v>57.53846153846154</v>
      </c>
      <c r="J21" s="63">
        <v>23.384615384615383</v>
      </c>
      <c r="K21" s="64">
        <v>4065.2173913043484</v>
      </c>
      <c r="L21" s="64">
        <v>1652.1739130434785</v>
      </c>
      <c r="M21" s="64"/>
      <c r="N21" s="64"/>
      <c r="O21" s="52" t="s">
        <v>960</v>
      </c>
      <c r="P21" s="52" t="s">
        <v>960</v>
      </c>
      <c r="Q21" s="65" t="s">
        <v>960</v>
      </c>
      <c r="R21" s="52" t="s">
        <v>960</v>
      </c>
      <c r="S21" s="51" t="s">
        <v>1587</v>
      </c>
      <c r="T21" s="66">
        <v>2</v>
      </c>
      <c r="U21" s="66">
        <v>2</v>
      </c>
      <c r="Y21" t="s">
        <v>960</v>
      </c>
    </row>
    <row r="22" spans="1:25">
      <c r="A22" s="2" t="s">
        <v>1470</v>
      </c>
      <c r="B22" s="104" t="str">
        <f t="shared" si="0"/>
        <v>Imola černá mat</v>
      </c>
      <c r="C22" s="108">
        <f t="shared" si="1"/>
        <v>504.7</v>
      </c>
      <c r="D22" s="108">
        <f t="shared" si="2"/>
        <v>161.71</v>
      </c>
      <c r="E22" s="22">
        <v>504.7</v>
      </c>
      <c r="F22" s="22">
        <v>161.71</v>
      </c>
      <c r="G22" s="63">
        <v>12.9</v>
      </c>
      <c r="H22" s="63">
        <v>5.0516431730769238</v>
      </c>
      <c r="I22" s="63">
        <v>75.384615384615387</v>
      </c>
      <c r="J22" s="63">
        <v>24.153846153846153</v>
      </c>
      <c r="K22" s="64">
        <v>5326.0869565217399</v>
      </c>
      <c r="L22" s="64">
        <v>1706.5217391304348</v>
      </c>
      <c r="M22" s="64"/>
      <c r="N22" s="64"/>
      <c r="O22" s="52" t="s">
        <v>1468</v>
      </c>
      <c r="P22" s="52" t="s">
        <v>1469</v>
      </c>
      <c r="Q22" s="65" t="s">
        <v>1470</v>
      </c>
      <c r="R22" s="52" t="s">
        <v>1471</v>
      </c>
      <c r="S22" s="51" t="s">
        <v>1588</v>
      </c>
      <c r="T22" s="66">
        <v>2</v>
      </c>
      <c r="U22" s="66">
        <v>2</v>
      </c>
      <c r="Y22" t="s">
        <v>1468</v>
      </c>
    </row>
    <row r="23" spans="1:25">
      <c r="A23" s="2" t="s">
        <v>1521</v>
      </c>
      <c r="B23" s="104" t="str">
        <f t="shared" si="0"/>
        <v>Imola bílá mat</v>
      </c>
      <c r="C23" s="108">
        <f t="shared" si="1"/>
        <v>780.74</v>
      </c>
      <c r="D23" s="108">
        <f t="shared" si="2"/>
        <v>161.71</v>
      </c>
      <c r="E23" s="22">
        <v>780.74</v>
      </c>
      <c r="F23" s="22">
        <v>161.71</v>
      </c>
      <c r="G23" s="63">
        <v>19.96</v>
      </c>
      <c r="H23" s="63">
        <v>5.05</v>
      </c>
      <c r="I23" s="63">
        <v>116.62</v>
      </c>
      <c r="J23" s="63">
        <v>24.15</v>
      </c>
      <c r="K23" s="64">
        <v>8239</v>
      </c>
      <c r="L23" s="64">
        <v>1707</v>
      </c>
      <c r="M23" s="64"/>
      <c r="N23" s="64"/>
      <c r="O23" s="51" t="s">
        <v>1517</v>
      </c>
      <c r="P23" s="51" t="s">
        <v>1518</v>
      </c>
      <c r="Q23" s="62" t="s">
        <v>1519</v>
      </c>
      <c r="R23" s="51" t="s">
        <v>1520</v>
      </c>
      <c r="S23" s="51" t="s">
        <v>1589</v>
      </c>
      <c r="T23" s="66">
        <v>2</v>
      </c>
      <c r="U23" s="66">
        <v>2</v>
      </c>
    </row>
    <row r="24" spans="1:25">
      <c r="A24" s="2" t="s">
        <v>961</v>
      </c>
      <c r="B24" s="104" t="str">
        <f t="shared" si="0"/>
        <v>Modena (elox.)</v>
      </c>
      <c r="C24" s="108">
        <f t="shared" si="1"/>
        <v>346.08</v>
      </c>
      <c r="D24" s="108">
        <f t="shared" si="2"/>
        <v>150.38</v>
      </c>
      <c r="E24" s="22">
        <v>346.08</v>
      </c>
      <c r="F24" s="22">
        <v>150.38</v>
      </c>
      <c r="G24" s="63">
        <v>9.3020704615384631</v>
      </c>
      <c r="H24" s="63">
        <v>5.0516431730769238</v>
      </c>
      <c r="I24" s="63">
        <v>51.692307692307693</v>
      </c>
      <c r="J24" s="63">
        <v>22.46153846153846</v>
      </c>
      <c r="K24" s="64">
        <v>3652.1739130434789</v>
      </c>
      <c r="L24" s="64">
        <v>1586.9565217391307</v>
      </c>
      <c r="M24" s="64"/>
      <c r="N24" s="64"/>
      <c r="O24" s="52" t="s">
        <v>961</v>
      </c>
      <c r="P24" s="52" t="s">
        <v>961</v>
      </c>
      <c r="Q24" s="65" t="s">
        <v>961</v>
      </c>
      <c r="R24" s="52" t="s">
        <v>961</v>
      </c>
      <c r="S24" s="51" t="s">
        <v>1590</v>
      </c>
      <c r="T24" s="66">
        <v>2</v>
      </c>
      <c r="U24" s="66">
        <v>1</v>
      </c>
      <c r="Y24" t="s">
        <v>961</v>
      </c>
    </row>
    <row r="25" spans="1:25">
      <c r="A25" s="2" t="s">
        <v>1512</v>
      </c>
      <c r="B25" s="104" t="str">
        <f t="shared" si="0"/>
        <v>Modena černá mat</v>
      </c>
      <c r="C25" s="108">
        <f t="shared" si="1"/>
        <v>402.73</v>
      </c>
      <c r="D25" s="108">
        <f t="shared" si="2"/>
        <v>150.38</v>
      </c>
      <c r="E25" s="22">
        <v>402.73</v>
      </c>
      <c r="F25" s="22">
        <v>150.38</v>
      </c>
      <c r="G25" s="63">
        <v>11.755660061538462</v>
      </c>
      <c r="H25" s="63">
        <v>5.0516431730769238</v>
      </c>
      <c r="I25" s="63">
        <v>60.153846153846153</v>
      </c>
      <c r="J25" s="63">
        <v>22.46153846153846</v>
      </c>
      <c r="K25" s="64">
        <v>4250</v>
      </c>
      <c r="L25" s="64">
        <v>1586.9565217391307</v>
      </c>
      <c r="M25" s="64"/>
      <c r="N25" s="64"/>
      <c r="O25" s="52" t="s">
        <v>1480</v>
      </c>
      <c r="P25" s="52" t="s">
        <v>1481</v>
      </c>
      <c r="Q25" s="52" t="s">
        <v>1482</v>
      </c>
      <c r="R25" s="52" t="s">
        <v>1483</v>
      </c>
      <c r="S25" s="51" t="s">
        <v>1591</v>
      </c>
      <c r="T25" s="66">
        <v>2</v>
      </c>
      <c r="U25" s="66">
        <v>1</v>
      </c>
      <c r="Y25" t="s">
        <v>1480</v>
      </c>
    </row>
    <row r="26" spans="1:25">
      <c r="A26" s="2" t="s">
        <v>1513</v>
      </c>
      <c r="B26" s="104" t="str">
        <f t="shared" si="0"/>
        <v>Modena černá lesk</v>
      </c>
      <c r="C26" s="108">
        <f t="shared" si="1"/>
        <v>709.67000000000007</v>
      </c>
      <c r="D26" s="108">
        <f t="shared" si="2"/>
        <v>161.71</v>
      </c>
      <c r="E26" s="22">
        <v>709.67000000000007</v>
      </c>
      <c r="F26" s="22">
        <v>161.71</v>
      </c>
      <c r="G26" s="63">
        <v>20.72</v>
      </c>
      <c r="H26" s="63">
        <v>5.43</v>
      </c>
      <c r="I26" s="63">
        <v>106</v>
      </c>
      <c r="J26" s="63">
        <v>24.15</v>
      </c>
      <c r="K26" s="64">
        <v>7489.13</v>
      </c>
      <c r="L26" s="64">
        <v>1706.57</v>
      </c>
      <c r="M26" s="64"/>
      <c r="N26" s="64"/>
      <c r="O26" s="52" t="s">
        <v>1484</v>
      </c>
      <c r="P26" s="52" t="s">
        <v>1485</v>
      </c>
      <c r="Q26" s="52" t="s">
        <v>1486</v>
      </c>
      <c r="R26" s="52" t="s">
        <v>1487</v>
      </c>
      <c r="S26" s="51" t="s">
        <v>1592</v>
      </c>
      <c r="T26" s="66">
        <v>2</v>
      </c>
      <c r="U26" s="66">
        <v>1</v>
      </c>
    </row>
    <row r="27" spans="1:25">
      <c r="A27" s="2" t="s">
        <v>649</v>
      </c>
      <c r="B27" s="104" t="str">
        <f t="shared" si="0"/>
        <v>Modena černá broušená</v>
      </c>
      <c r="C27" s="108">
        <f t="shared" si="1"/>
        <v>504.7</v>
      </c>
      <c r="D27" s="108">
        <f t="shared" si="2"/>
        <v>150.38</v>
      </c>
      <c r="E27" s="22">
        <v>504.7</v>
      </c>
      <c r="F27" s="22">
        <v>150.38</v>
      </c>
      <c r="G27" s="63">
        <v>11.635247884615385</v>
      </c>
      <c r="H27" s="63">
        <v>5.0516431730769238</v>
      </c>
      <c r="I27" s="63">
        <v>75.384615384615387</v>
      </c>
      <c r="J27" s="63">
        <v>22.46153846153846</v>
      </c>
      <c r="K27" s="64">
        <v>5326.0869565217399</v>
      </c>
      <c r="L27" s="64">
        <v>1586.9565217391307</v>
      </c>
      <c r="M27" s="64"/>
      <c r="N27" s="64"/>
      <c r="O27" s="51" t="s">
        <v>647</v>
      </c>
      <c r="P27" s="51" t="s">
        <v>648</v>
      </c>
      <c r="Q27" s="62" t="s">
        <v>649</v>
      </c>
      <c r="R27" s="51" t="s">
        <v>650</v>
      </c>
      <c r="S27" s="51" t="s">
        <v>1593</v>
      </c>
      <c r="T27" s="66">
        <v>2</v>
      </c>
      <c r="U27" s="66">
        <v>1</v>
      </c>
      <c r="Y27" t="s">
        <v>647</v>
      </c>
    </row>
    <row r="28" spans="1:25">
      <c r="A28" s="2" t="s">
        <v>1303</v>
      </c>
      <c r="B28" s="104" t="str">
        <f t="shared" si="0"/>
        <v>Modena tmavá nerez br. (inox lija)</v>
      </c>
      <c r="C28" s="108">
        <f t="shared" si="1"/>
        <v>508.82</v>
      </c>
      <c r="D28" s="108">
        <f t="shared" si="2"/>
        <v>150.38</v>
      </c>
      <c r="E28" s="22">
        <v>508.82</v>
      </c>
      <c r="F28" s="22">
        <v>150.38</v>
      </c>
      <c r="G28" s="63">
        <v>11.635247884615385</v>
      </c>
      <c r="H28" s="63">
        <v>5.0516431730769238</v>
      </c>
      <c r="I28" s="63">
        <v>76</v>
      </c>
      <c r="J28" s="63">
        <v>22.46153846153846</v>
      </c>
      <c r="K28" s="64">
        <v>5369.5652173913049</v>
      </c>
      <c r="L28" s="64">
        <v>1586.9565217391307</v>
      </c>
      <c r="M28" s="64"/>
      <c r="N28" s="64"/>
      <c r="O28" s="51" t="s">
        <v>1316</v>
      </c>
      <c r="P28" s="51" t="s">
        <v>1317</v>
      </c>
      <c r="Q28" s="62" t="s">
        <v>645</v>
      </c>
      <c r="R28" s="51" t="s">
        <v>646</v>
      </c>
      <c r="S28" s="51" t="s">
        <v>1594</v>
      </c>
      <c r="T28" s="66">
        <v>2</v>
      </c>
      <c r="U28" s="66">
        <v>1</v>
      </c>
      <c r="Y28" t="s">
        <v>1316</v>
      </c>
    </row>
    <row r="29" spans="1:25">
      <c r="A29" s="2" t="s">
        <v>962</v>
      </c>
      <c r="B29" s="104" t="str">
        <f t="shared" si="0"/>
        <v>Palio (elox.)</v>
      </c>
      <c r="C29" s="108">
        <f t="shared" si="1"/>
        <v>380.07</v>
      </c>
      <c r="D29" s="108">
        <f t="shared" si="2"/>
        <v>145.22999999999999</v>
      </c>
      <c r="E29" s="22">
        <v>380.07</v>
      </c>
      <c r="F29" s="22">
        <v>145.22999999999999</v>
      </c>
      <c r="G29" s="63">
        <v>10.319548250000002</v>
      </c>
      <c r="H29" s="63">
        <v>4.6456733653846154</v>
      </c>
      <c r="I29" s="63">
        <v>56.769230769230766</v>
      </c>
      <c r="J29" s="63">
        <v>21.692307692307693</v>
      </c>
      <c r="K29" s="64">
        <v>4010.8695652173915</v>
      </c>
      <c r="L29" s="64">
        <v>1532.608695652174</v>
      </c>
      <c r="M29" s="64"/>
      <c r="N29" s="64"/>
      <c r="O29" s="52" t="s">
        <v>962</v>
      </c>
      <c r="P29" s="51" t="s">
        <v>962</v>
      </c>
      <c r="Q29" s="65" t="s">
        <v>962</v>
      </c>
      <c r="R29" s="51" t="s">
        <v>962</v>
      </c>
      <c r="S29" s="51" t="s">
        <v>1595</v>
      </c>
      <c r="T29" s="66">
        <v>2</v>
      </c>
      <c r="U29" s="66">
        <v>1</v>
      </c>
      <c r="Y29" t="s">
        <v>962</v>
      </c>
    </row>
    <row r="30" spans="1:25">
      <c r="A30" s="2" t="s">
        <v>963</v>
      </c>
      <c r="B30" s="104" t="str">
        <f t="shared" si="0"/>
        <v>Pisa (elox.)</v>
      </c>
      <c r="C30" s="108">
        <f t="shared" si="1"/>
        <v>370.8</v>
      </c>
      <c r="D30" s="108">
        <f t="shared" si="2"/>
        <v>161.71</v>
      </c>
      <c r="E30" s="22">
        <v>370.8</v>
      </c>
      <c r="F30" s="22">
        <v>161.71</v>
      </c>
      <c r="G30" s="63">
        <v>9.3470080000000024</v>
      </c>
      <c r="H30" s="63">
        <v>5.1473907692307694</v>
      </c>
      <c r="I30" s="63">
        <v>55.384615384615387</v>
      </c>
      <c r="J30" s="63">
        <v>24.153846153846153</v>
      </c>
      <c r="K30" s="64">
        <v>3913.0434782608695</v>
      </c>
      <c r="L30" s="64">
        <v>1706.5217391304348</v>
      </c>
      <c r="M30" s="64"/>
      <c r="N30" s="64"/>
      <c r="O30" s="52" t="s">
        <v>963</v>
      </c>
      <c r="P30" s="51" t="s">
        <v>963</v>
      </c>
      <c r="Q30" s="65" t="s">
        <v>963</v>
      </c>
      <c r="R30" s="51" t="s">
        <v>963</v>
      </c>
      <c r="S30" s="51" t="s">
        <v>1596</v>
      </c>
      <c r="T30" s="66">
        <v>2</v>
      </c>
      <c r="U30" s="66">
        <v>2</v>
      </c>
      <c r="Y30" t="s">
        <v>963</v>
      </c>
    </row>
    <row r="31" spans="1:25">
      <c r="A31" s="2" t="s">
        <v>1474</v>
      </c>
      <c r="B31" s="104" t="str">
        <f t="shared" si="0"/>
        <v>Pisa černá mat</v>
      </c>
      <c r="C31" s="108">
        <f t="shared" si="1"/>
        <v>469.68</v>
      </c>
      <c r="D31" s="108">
        <f t="shared" si="2"/>
        <v>161.71</v>
      </c>
      <c r="E31" s="22">
        <v>469.68</v>
      </c>
      <c r="F31" s="22">
        <v>161.71</v>
      </c>
      <c r="G31" s="63">
        <v>11.650720696153847</v>
      </c>
      <c r="H31" s="63">
        <v>5.1473907692307694</v>
      </c>
      <c r="I31" s="63">
        <v>70.15384615384616</v>
      </c>
      <c r="J31" s="63">
        <v>24.153846153846153</v>
      </c>
      <c r="K31" s="64">
        <v>4956.521739130435</v>
      </c>
      <c r="L31" s="64">
        <v>1706.5217391304348</v>
      </c>
      <c r="M31" s="64"/>
      <c r="N31" s="64"/>
      <c r="O31" s="52" t="s">
        <v>1472</v>
      </c>
      <c r="P31" s="52" t="s">
        <v>1473</v>
      </c>
      <c r="Q31" s="52" t="s">
        <v>1474</v>
      </c>
      <c r="R31" s="52" t="s">
        <v>1475</v>
      </c>
      <c r="S31" s="51" t="s">
        <v>1597</v>
      </c>
      <c r="T31" s="66">
        <v>2</v>
      </c>
      <c r="U31" s="66">
        <v>2</v>
      </c>
      <c r="Y31" t="s">
        <v>1472</v>
      </c>
    </row>
    <row r="32" spans="1:25">
      <c r="A32" s="2" t="s">
        <v>1516</v>
      </c>
      <c r="B32" s="104" t="str">
        <f t="shared" si="0"/>
        <v>Pisa černá lesk</v>
      </c>
      <c r="C32" s="108">
        <f t="shared" si="1"/>
        <v>709.67000000000007</v>
      </c>
      <c r="D32" s="108">
        <f t="shared" si="2"/>
        <v>161.71</v>
      </c>
      <c r="E32" s="22">
        <v>709.67000000000007</v>
      </c>
      <c r="F32" s="22">
        <v>161.71</v>
      </c>
      <c r="G32" s="63">
        <v>20.72</v>
      </c>
      <c r="H32" s="63">
        <v>5.15</v>
      </c>
      <c r="I32" s="63">
        <v>106</v>
      </c>
      <c r="J32" s="63">
        <v>24.15</v>
      </c>
      <c r="K32" s="64">
        <v>7489</v>
      </c>
      <c r="L32" s="64">
        <v>1707</v>
      </c>
      <c r="M32" s="64"/>
      <c r="N32" s="64"/>
      <c r="O32" s="52" t="s">
        <v>1476</v>
      </c>
      <c r="P32" s="52" t="s">
        <v>1477</v>
      </c>
      <c r="Q32" s="52" t="s">
        <v>1478</v>
      </c>
      <c r="R32" s="52" t="s">
        <v>1479</v>
      </c>
      <c r="S32" s="51" t="s">
        <v>1598</v>
      </c>
      <c r="T32" s="66">
        <v>2</v>
      </c>
      <c r="U32" s="66">
        <v>2</v>
      </c>
    </row>
    <row r="33" spans="1:25">
      <c r="A33" s="2" t="s">
        <v>964</v>
      </c>
      <c r="B33" s="104" t="str">
        <f t="shared" si="0"/>
        <v>Ravena (elox.)</v>
      </c>
      <c r="C33" s="108">
        <f t="shared" si="1"/>
        <v>278.10000000000002</v>
      </c>
      <c r="D33" s="108">
        <f t="shared" si="2"/>
        <v>112.27</v>
      </c>
      <c r="E33" s="22">
        <v>278.10000000000002</v>
      </c>
      <c r="F33" s="22">
        <v>112.27</v>
      </c>
      <c r="G33" s="63">
        <v>8.5713248076923083</v>
      </c>
      <c r="H33" s="63">
        <v>3.4277639423076924</v>
      </c>
      <c r="I33" s="63">
        <v>41.53846153846154</v>
      </c>
      <c r="J33" s="63">
        <v>16.76923076923077</v>
      </c>
      <c r="K33" s="64">
        <v>2934.7826086956525</v>
      </c>
      <c r="L33" s="64">
        <v>1184.7826086956522</v>
      </c>
      <c r="M33" s="64"/>
      <c r="N33" s="64"/>
      <c r="O33" s="52" t="s">
        <v>1318</v>
      </c>
      <c r="P33" s="52" t="s">
        <v>964</v>
      </c>
      <c r="Q33" s="52" t="s">
        <v>964</v>
      </c>
      <c r="R33" s="52" t="s">
        <v>964</v>
      </c>
      <c r="S33" s="51" t="s">
        <v>1599</v>
      </c>
      <c r="T33" s="66">
        <v>1</v>
      </c>
      <c r="U33" s="66">
        <v>1</v>
      </c>
      <c r="Y33" t="s">
        <v>1318</v>
      </c>
    </row>
    <row r="34" spans="1:25">
      <c r="A34" s="2" t="s">
        <v>965</v>
      </c>
      <c r="B34" s="104" t="str">
        <f t="shared" si="0"/>
        <v>Siena (elox.)</v>
      </c>
      <c r="C34" s="108">
        <f t="shared" si="1"/>
        <v>380.07</v>
      </c>
      <c r="D34" s="108">
        <f t="shared" si="2"/>
        <v>145.22999999999999</v>
      </c>
      <c r="E34" s="22">
        <v>380.07</v>
      </c>
      <c r="F34" s="22">
        <v>145.22999999999999</v>
      </c>
      <c r="G34" s="63">
        <v>10.319548250000002</v>
      </c>
      <c r="H34" s="63">
        <v>4.6456733653846154</v>
      </c>
      <c r="I34" s="63">
        <v>56.769230769230766</v>
      </c>
      <c r="J34" s="63">
        <v>21.692307692307693</v>
      </c>
      <c r="K34" s="64">
        <v>4010.8695652173915</v>
      </c>
      <c r="L34" s="64">
        <v>1532.608695652174</v>
      </c>
      <c r="M34" s="64"/>
      <c r="N34" s="64"/>
      <c r="O34" s="52" t="s">
        <v>965</v>
      </c>
      <c r="P34" s="52" t="s">
        <v>965</v>
      </c>
      <c r="Q34" s="52" t="s">
        <v>965</v>
      </c>
      <c r="R34" s="52" t="s">
        <v>965</v>
      </c>
      <c r="S34" s="51" t="s">
        <v>1600</v>
      </c>
      <c r="T34" s="66">
        <v>2</v>
      </c>
      <c r="U34" s="66">
        <v>1</v>
      </c>
      <c r="Y34" t="s">
        <v>965</v>
      </c>
    </row>
    <row r="35" spans="1:25">
      <c r="A35" s="2" t="s">
        <v>966</v>
      </c>
      <c r="B35" s="104" t="str">
        <f t="shared" si="0"/>
        <v>Verona (elox.)</v>
      </c>
      <c r="C35" s="108">
        <f t="shared" si="1"/>
        <v>257.5</v>
      </c>
      <c r="D35" s="108">
        <f t="shared" si="2"/>
        <v>92.7</v>
      </c>
      <c r="E35" s="22">
        <v>257.5</v>
      </c>
      <c r="F35" s="22">
        <v>92.7</v>
      </c>
      <c r="G35" s="63">
        <v>6.2856381923076921</v>
      </c>
      <c r="H35" s="63">
        <v>3.4277639423076924</v>
      </c>
      <c r="I35" s="63">
        <v>38.46153846153846</v>
      </c>
      <c r="J35" s="63">
        <v>13.846153846153847</v>
      </c>
      <c r="K35" s="64">
        <v>2717.391304347826</v>
      </c>
      <c r="L35" s="64">
        <v>978.26086956521738</v>
      </c>
      <c r="M35" s="64"/>
      <c r="N35" s="64"/>
      <c r="O35" s="52" t="s">
        <v>966</v>
      </c>
      <c r="P35" s="52" t="s">
        <v>966</v>
      </c>
      <c r="Q35" s="52" t="s">
        <v>966</v>
      </c>
      <c r="R35" s="52" t="s">
        <v>966</v>
      </c>
      <c r="S35" s="51" t="s">
        <v>1601</v>
      </c>
      <c r="T35" s="66">
        <v>1</v>
      </c>
      <c r="U35" s="66">
        <v>1</v>
      </c>
      <c r="Y35" t="s">
        <v>966</v>
      </c>
    </row>
    <row r="36" spans="1:25">
      <c r="A36" s="2" t="s">
        <v>660</v>
      </c>
      <c r="B36" s="104" t="str">
        <f t="shared" si="0"/>
        <v>Verona broušený hliník</v>
      </c>
      <c r="C36" s="108">
        <f t="shared" si="1"/>
        <v>447.02000000000004</v>
      </c>
      <c r="D36" s="108">
        <f t="shared" si="2"/>
        <v>112.27</v>
      </c>
      <c r="E36" s="22">
        <v>447.02000000000004</v>
      </c>
      <c r="F36" s="22">
        <v>112.27</v>
      </c>
      <c r="G36" s="63">
        <v>9.485395192307692</v>
      </c>
      <c r="H36" s="63">
        <v>3.4277639423076924</v>
      </c>
      <c r="I36" s="63">
        <v>66.769230769230774</v>
      </c>
      <c r="J36" s="63">
        <v>16.76923076923077</v>
      </c>
      <c r="K36" s="64">
        <v>4717.3913043478269</v>
      </c>
      <c r="L36" s="64">
        <v>1184.7826086956522</v>
      </c>
      <c r="M36" s="64"/>
      <c r="N36" s="64"/>
      <c r="O36" s="52" t="s">
        <v>1319</v>
      </c>
      <c r="P36" s="52" t="s">
        <v>659</v>
      </c>
      <c r="Q36" s="52" t="s">
        <v>660</v>
      </c>
      <c r="R36" s="52" t="s">
        <v>661</v>
      </c>
      <c r="S36" s="51" t="s">
        <v>1602</v>
      </c>
      <c r="T36" s="66">
        <v>1</v>
      </c>
      <c r="U36" s="66">
        <v>1</v>
      </c>
      <c r="Y36" t="s">
        <v>1319</v>
      </c>
    </row>
    <row r="37" spans="1:25">
      <c r="A37" s="2" t="s">
        <v>657</v>
      </c>
      <c r="B37" s="104" t="str">
        <f t="shared" si="0"/>
        <v>Verona černá lesk</v>
      </c>
      <c r="C37" s="108">
        <f t="shared" si="1"/>
        <v>373.89</v>
      </c>
      <c r="D37" s="108">
        <f t="shared" si="2"/>
        <v>112.27</v>
      </c>
      <c r="E37" s="22">
        <v>373.89</v>
      </c>
      <c r="F37" s="22">
        <v>112.27</v>
      </c>
      <c r="G37" s="63">
        <v>8.7122652692307696</v>
      </c>
      <c r="H37" s="63">
        <v>3.4277639423076924</v>
      </c>
      <c r="I37" s="63">
        <v>55.846153846153847</v>
      </c>
      <c r="J37" s="63">
        <v>16.76923076923077</v>
      </c>
      <c r="K37" s="64">
        <v>3945.652173913044</v>
      </c>
      <c r="L37" s="64">
        <v>1184.7826086956522</v>
      </c>
      <c r="M37" s="64"/>
      <c r="N37" s="64"/>
      <c r="O37" s="52" t="s">
        <v>655</v>
      </c>
      <c r="P37" s="52" t="s">
        <v>656</v>
      </c>
      <c r="Q37" s="52" t="s">
        <v>657</v>
      </c>
      <c r="R37" s="52" t="s">
        <v>658</v>
      </c>
      <c r="S37" s="51" t="s">
        <v>1603</v>
      </c>
      <c r="T37" s="66">
        <v>1</v>
      </c>
      <c r="U37" s="66">
        <v>1</v>
      </c>
      <c r="Y37" t="s">
        <v>655</v>
      </c>
    </row>
    <row r="38" spans="1:25">
      <c r="A38" s="2" t="s">
        <v>1304</v>
      </c>
      <c r="B38" s="104" t="str">
        <f t="shared" si="0"/>
        <v>Verona černá mat</v>
      </c>
      <c r="C38" s="108">
        <f t="shared" si="1"/>
        <v>373.89</v>
      </c>
      <c r="D38" s="108">
        <f t="shared" si="2"/>
        <v>112.27</v>
      </c>
      <c r="E38" s="22">
        <v>373.89</v>
      </c>
      <c r="F38" s="22">
        <v>112.27</v>
      </c>
      <c r="G38" s="63">
        <v>8.7122652692307696</v>
      </c>
      <c r="H38" s="63">
        <v>3.4277639423076924</v>
      </c>
      <c r="I38" s="63">
        <v>55.846153846153847</v>
      </c>
      <c r="J38" s="63">
        <v>16.76923076923077</v>
      </c>
      <c r="K38" s="64">
        <v>3945.652173913044</v>
      </c>
      <c r="L38" s="64">
        <v>1184.7826086956522</v>
      </c>
      <c r="M38" s="64"/>
      <c r="N38" s="64"/>
      <c r="O38" s="52" t="s">
        <v>1456</v>
      </c>
      <c r="P38" s="52" t="s">
        <v>1457</v>
      </c>
      <c r="Q38" s="52" t="s">
        <v>1458</v>
      </c>
      <c r="R38" s="52" t="s">
        <v>1459</v>
      </c>
      <c r="S38" s="51" t="s">
        <v>1604</v>
      </c>
      <c r="T38" s="66">
        <v>1</v>
      </c>
      <c r="U38" s="66">
        <v>1</v>
      </c>
      <c r="Y38" t="s">
        <v>1456</v>
      </c>
    </row>
    <row r="39" spans="1:25">
      <c r="A39" s="2" t="s">
        <v>1305</v>
      </c>
      <c r="B39" s="104" t="str">
        <f t="shared" si="0"/>
        <v>Verona hnědá</v>
      </c>
      <c r="C39" s="108">
        <f t="shared" si="1"/>
        <v>373.89</v>
      </c>
      <c r="D39" s="108">
        <f t="shared" si="2"/>
        <v>112.27</v>
      </c>
      <c r="E39" s="22">
        <v>373.89</v>
      </c>
      <c r="F39" s="22">
        <v>112.27</v>
      </c>
      <c r="G39" s="63">
        <v>8.7122652692307696</v>
      </c>
      <c r="H39" s="63">
        <v>3.4277639423076924</v>
      </c>
      <c r="I39" s="63">
        <v>55.846153846153847</v>
      </c>
      <c r="J39" s="63">
        <v>16.76923076923077</v>
      </c>
      <c r="K39" s="64">
        <v>3945.652173913044</v>
      </c>
      <c r="L39" s="64">
        <v>1184.7826086956522</v>
      </c>
      <c r="M39" s="64"/>
      <c r="N39" s="64"/>
      <c r="O39" s="51" t="s">
        <v>1320</v>
      </c>
      <c r="P39" s="51" t="s">
        <v>1320</v>
      </c>
      <c r="Q39" s="51" t="s">
        <v>1321</v>
      </c>
      <c r="R39" s="51" t="s">
        <v>1322</v>
      </c>
      <c r="S39" s="51" t="s">
        <v>1605</v>
      </c>
      <c r="T39" s="66">
        <v>1</v>
      </c>
      <c r="U39" s="66">
        <v>1</v>
      </c>
      <c r="Y39" t="s">
        <v>1320</v>
      </c>
    </row>
    <row r="40" spans="1:25">
      <c r="A40" s="2" t="s">
        <v>653</v>
      </c>
      <c r="B40" s="104" t="str">
        <f t="shared" si="0"/>
        <v>Verona champagne</v>
      </c>
      <c r="C40" s="108">
        <f t="shared" si="1"/>
        <v>346.08</v>
      </c>
      <c r="D40" s="108">
        <f t="shared" si="2"/>
        <v>112.27</v>
      </c>
      <c r="E40" s="22">
        <v>346.08</v>
      </c>
      <c r="F40" s="22">
        <v>112.27</v>
      </c>
      <c r="G40" s="63">
        <v>8.0915655192307696</v>
      </c>
      <c r="H40" s="63">
        <v>3.4277639423076924</v>
      </c>
      <c r="I40" s="63">
        <v>51.692307692307693</v>
      </c>
      <c r="J40" s="63">
        <v>16.76923076923077</v>
      </c>
      <c r="K40" s="64">
        <v>3652.1739130434789</v>
      </c>
      <c r="L40" s="64">
        <v>1184.7826086956522</v>
      </c>
      <c r="M40" s="64"/>
      <c r="N40" s="64"/>
      <c r="O40" s="51" t="s">
        <v>652</v>
      </c>
      <c r="P40" s="51" t="s">
        <v>652</v>
      </c>
      <c r="Q40" s="51" t="s">
        <v>653</v>
      </c>
      <c r="R40" s="51" t="s">
        <v>654</v>
      </c>
      <c r="S40" s="51" t="s">
        <v>652</v>
      </c>
      <c r="T40" s="66">
        <v>1</v>
      </c>
      <c r="U40" s="66">
        <v>1</v>
      </c>
      <c r="Y40" t="s">
        <v>652</v>
      </c>
    </row>
    <row r="41" spans="1:25">
      <c r="A41" s="2" t="s">
        <v>663</v>
      </c>
      <c r="B41" s="104" t="str">
        <f t="shared" si="0"/>
        <v>Verona tmavá nerez broušená</v>
      </c>
      <c r="C41" s="108">
        <f t="shared" si="1"/>
        <v>458.35</v>
      </c>
      <c r="D41" s="108">
        <f t="shared" si="2"/>
        <v>112.27</v>
      </c>
      <c r="E41" s="22">
        <v>458.35</v>
      </c>
      <c r="F41" s="22">
        <v>112.27</v>
      </c>
      <c r="G41" s="63">
        <v>9.7560417307692315</v>
      </c>
      <c r="H41" s="63">
        <v>3.4277639423076924</v>
      </c>
      <c r="I41" s="63">
        <v>68.461538461538467</v>
      </c>
      <c r="J41" s="63">
        <v>16.76923076923077</v>
      </c>
      <c r="K41" s="64">
        <v>4836.95652173913</v>
      </c>
      <c r="L41" s="64">
        <v>1184.7826086956522</v>
      </c>
      <c r="M41" s="64"/>
      <c r="N41" s="64"/>
      <c r="O41" s="52" t="s">
        <v>1323</v>
      </c>
      <c r="P41" s="52" t="s">
        <v>662</v>
      </c>
      <c r="Q41" s="52" t="s">
        <v>663</v>
      </c>
      <c r="R41" s="52" t="s">
        <v>664</v>
      </c>
      <c r="S41" s="51" t="s">
        <v>1606</v>
      </c>
      <c r="T41" s="66">
        <v>1</v>
      </c>
      <c r="U41" s="66">
        <v>1</v>
      </c>
      <c r="Y41" t="s">
        <v>1323</v>
      </c>
    </row>
    <row r="42" spans="1:25">
      <c r="A42" s="2" t="s">
        <v>1306</v>
      </c>
      <c r="B42" s="104" t="str">
        <f t="shared" si="0"/>
        <v>Verona světlá nerez (Acier grata)</v>
      </c>
      <c r="C42" s="108">
        <f t="shared" si="1"/>
        <v>458.35</v>
      </c>
      <c r="D42" s="108">
        <f t="shared" si="2"/>
        <v>112.27</v>
      </c>
      <c r="E42" s="22">
        <v>458.35</v>
      </c>
      <c r="F42" s="22">
        <v>112.27</v>
      </c>
      <c r="G42" s="63">
        <v>9.4649690384615397</v>
      </c>
      <c r="H42" s="63">
        <v>3.4277639423076924</v>
      </c>
      <c r="I42" s="63">
        <v>68.461538461538467</v>
      </c>
      <c r="J42" s="63">
        <v>16.76923076923077</v>
      </c>
      <c r="K42" s="64">
        <v>4836.95652173913</v>
      </c>
      <c r="L42" s="64">
        <v>1184.7826086956522</v>
      </c>
      <c r="M42" s="64"/>
      <c r="N42" s="64"/>
      <c r="O42" s="52" t="s">
        <v>1324</v>
      </c>
      <c r="P42" s="52" t="s">
        <v>1325</v>
      </c>
      <c r="Q42" s="52" t="s">
        <v>1326</v>
      </c>
      <c r="R42" s="52" t="s">
        <v>1327</v>
      </c>
      <c r="S42" s="51" t="s">
        <v>1607</v>
      </c>
      <c r="T42" s="66">
        <v>1</v>
      </c>
      <c r="U42" s="66">
        <v>1</v>
      </c>
      <c r="Y42" t="s">
        <v>1324</v>
      </c>
    </row>
    <row r="43" spans="1:25">
      <c r="A43" s="2" t="s">
        <v>967</v>
      </c>
      <c r="B43" s="104" t="str">
        <f t="shared" si="0"/>
        <v>Vivaro (elox.)</v>
      </c>
      <c r="C43" s="108">
        <f t="shared" si="1"/>
        <v>373.89</v>
      </c>
      <c r="D43" s="108">
        <f t="shared" si="2"/>
        <v>156.56</v>
      </c>
      <c r="E43" s="22">
        <v>373.89</v>
      </c>
      <c r="F43" s="22">
        <v>156.56</v>
      </c>
      <c r="G43" s="63">
        <v>10.235647823076922</v>
      </c>
      <c r="H43" s="63">
        <v>5.0516431730769238</v>
      </c>
      <c r="I43" s="63">
        <v>55.846153846153847</v>
      </c>
      <c r="J43" s="63">
        <v>23.384615384615383</v>
      </c>
      <c r="K43" s="64">
        <v>3945.652173913044</v>
      </c>
      <c r="L43" s="64">
        <v>1652.1739130434785</v>
      </c>
      <c r="M43" s="64"/>
      <c r="N43" s="64"/>
      <c r="O43" s="52" t="s">
        <v>967</v>
      </c>
      <c r="P43" s="52" t="s">
        <v>967</v>
      </c>
      <c r="Q43" s="52" t="s">
        <v>967</v>
      </c>
      <c r="R43" s="52" t="s">
        <v>967</v>
      </c>
      <c r="S43" s="51" t="s">
        <v>1608</v>
      </c>
      <c r="T43" s="66">
        <v>2</v>
      </c>
      <c r="U43" s="66">
        <v>1</v>
      </c>
      <c r="Y43" t="s">
        <v>967</v>
      </c>
    </row>
    <row r="44" spans="1:25">
      <c r="A44" s="2" t="s">
        <v>968</v>
      </c>
      <c r="B44" s="104" t="str">
        <f t="shared" si="0"/>
        <v>Vivaro černá mat</v>
      </c>
      <c r="C44" s="108">
        <f t="shared" si="1"/>
        <v>473.8</v>
      </c>
      <c r="D44" s="108">
        <f t="shared" si="2"/>
        <v>156.56</v>
      </c>
      <c r="E44" s="22">
        <v>473.8</v>
      </c>
      <c r="F44" s="22">
        <v>156.56</v>
      </c>
      <c r="G44" s="63">
        <v>14.810238173076923</v>
      </c>
      <c r="H44" s="63">
        <v>5.0516431730769238</v>
      </c>
      <c r="I44" s="63">
        <v>70.769230769230774</v>
      </c>
      <c r="J44" s="63">
        <v>23.384615384615383</v>
      </c>
      <c r="K44" s="64">
        <v>5000.0000000000009</v>
      </c>
      <c r="L44" s="64">
        <v>1652.1739130434785</v>
      </c>
      <c r="M44" s="64"/>
      <c r="N44" s="64"/>
      <c r="O44" s="52" t="s">
        <v>1464</v>
      </c>
      <c r="P44" s="52" t="s">
        <v>1465</v>
      </c>
      <c r="Q44" s="52" t="s">
        <v>1466</v>
      </c>
      <c r="R44" s="52" t="s">
        <v>1467</v>
      </c>
      <c r="S44" s="51" t="s">
        <v>1609</v>
      </c>
      <c r="T44" s="66">
        <v>2</v>
      </c>
      <c r="U44" s="66">
        <v>1</v>
      </c>
      <c r="Y44" t="s">
        <v>1464</v>
      </c>
    </row>
    <row r="45" spans="1:25">
      <c r="A45" s="2" t="s">
        <v>666</v>
      </c>
      <c r="B45" s="104" t="str">
        <f t="shared" si="0"/>
        <v>Vivaro tmavá nerez br. (inox lija)</v>
      </c>
      <c r="C45" s="108">
        <f t="shared" si="1"/>
        <v>525.30000000000007</v>
      </c>
      <c r="D45" s="108">
        <f t="shared" si="2"/>
        <v>156.56</v>
      </c>
      <c r="E45" s="22">
        <v>525.30000000000007</v>
      </c>
      <c r="F45" s="22">
        <v>156.56</v>
      </c>
      <c r="G45" s="63">
        <v>13.170784000000003</v>
      </c>
      <c r="H45" s="63">
        <v>5.0516431730769238</v>
      </c>
      <c r="I45" s="63">
        <v>78.461538461538467</v>
      </c>
      <c r="J45" s="63">
        <v>23.384615384615383</v>
      </c>
      <c r="K45" s="64">
        <v>5543.4782608695659</v>
      </c>
      <c r="L45" s="64">
        <v>1652.1739130434785</v>
      </c>
      <c r="M45" s="64"/>
      <c r="N45" s="64"/>
      <c r="O45" s="52" t="s">
        <v>1328</v>
      </c>
      <c r="P45" s="52" t="s">
        <v>1328</v>
      </c>
      <c r="Q45" s="52" t="s">
        <v>666</v>
      </c>
      <c r="R45" s="52" t="s">
        <v>667</v>
      </c>
      <c r="S45" s="51" t="s">
        <v>1610</v>
      </c>
      <c r="T45" s="66">
        <v>2</v>
      </c>
      <c r="U45" s="66">
        <v>1</v>
      </c>
      <c r="Y45" t="s">
        <v>1328</v>
      </c>
    </row>
    <row r="46" spans="1:25">
      <c r="A46" s="2" t="s">
        <v>1506</v>
      </c>
      <c r="B46" s="104" t="str">
        <f t="shared" si="0"/>
        <v>Vivaro bílá mat</v>
      </c>
      <c r="C46" s="108">
        <f t="shared" si="1"/>
        <v>473.8</v>
      </c>
      <c r="D46" s="108">
        <f t="shared" si="2"/>
        <v>156.56</v>
      </c>
      <c r="E46" s="22">
        <v>473.8</v>
      </c>
      <c r="F46" s="22">
        <v>156.56</v>
      </c>
      <c r="G46" s="63">
        <v>14.810238173076923</v>
      </c>
      <c r="H46" s="63">
        <v>5.0516431730769238</v>
      </c>
      <c r="I46" s="63">
        <v>70.769230769230774</v>
      </c>
      <c r="J46" s="63">
        <v>23.384615384615383</v>
      </c>
      <c r="K46" s="64">
        <v>5000.0000000000009</v>
      </c>
      <c r="L46" s="64">
        <v>1652.1739130434785</v>
      </c>
      <c r="M46" s="64"/>
      <c r="N46" s="64"/>
      <c r="O46" s="51" t="s">
        <v>1504</v>
      </c>
      <c r="P46" s="51" t="s">
        <v>1505</v>
      </c>
      <c r="Q46" s="62" t="s">
        <v>1506</v>
      </c>
      <c r="R46" s="51" t="s">
        <v>1507</v>
      </c>
      <c r="S46" s="51" t="s">
        <v>1611</v>
      </c>
      <c r="T46" s="66">
        <v>2</v>
      </c>
      <c r="U46" s="66">
        <v>1</v>
      </c>
    </row>
    <row r="47" spans="1:25">
      <c r="A47" s="2" t="s">
        <v>1510</v>
      </c>
      <c r="B47" s="104" t="str">
        <f t="shared" si="0"/>
        <v>Vivaro bílá lesk</v>
      </c>
      <c r="C47" s="108">
        <f t="shared" si="1"/>
        <v>473.8</v>
      </c>
      <c r="D47" s="108">
        <f t="shared" si="2"/>
        <v>156.56</v>
      </c>
      <c r="E47" s="22">
        <v>473.8</v>
      </c>
      <c r="F47" s="22">
        <v>156.56</v>
      </c>
      <c r="G47" s="63">
        <v>14.81</v>
      </c>
      <c r="H47" s="63">
        <v>5.05</v>
      </c>
      <c r="I47" s="63">
        <v>70.77</v>
      </c>
      <c r="J47" s="63">
        <v>23.38</v>
      </c>
      <c r="K47" s="64">
        <v>5000</v>
      </c>
      <c r="L47" s="64">
        <v>1652</v>
      </c>
      <c r="M47" s="64"/>
      <c r="N47" s="64"/>
      <c r="O47" s="51" t="s">
        <v>1508</v>
      </c>
      <c r="P47" s="51" t="s">
        <v>1509</v>
      </c>
      <c r="Q47" s="62" t="s">
        <v>1510</v>
      </c>
      <c r="R47" s="51" t="s">
        <v>1511</v>
      </c>
      <c r="S47" s="51" t="s">
        <v>1612</v>
      </c>
      <c r="T47" s="66">
        <v>2</v>
      </c>
      <c r="U47" s="66">
        <v>1</v>
      </c>
      <c r="Y47" t="s">
        <v>1508</v>
      </c>
    </row>
    <row r="48" spans="1:25">
      <c r="S48" s="51"/>
    </row>
    <row r="49" spans="2:19">
      <c r="B49" s="2"/>
      <c r="C49" s="2"/>
      <c r="D49" s="2"/>
      <c r="E49" s="2"/>
      <c r="F49" s="2"/>
      <c r="G49" s="2"/>
      <c r="H49" s="2"/>
      <c r="I49" s="2"/>
      <c r="J49" s="2"/>
      <c r="K49" s="2"/>
      <c r="L49" s="2"/>
      <c r="M49" s="2"/>
      <c r="N49" s="2"/>
      <c r="S49" s="51"/>
    </row>
    <row r="50" spans="2:19">
      <c r="B50" s="2"/>
      <c r="C50" s="2"/>
      <c r="D50" s="2"/>
      <c r="E50" s="2"/>
      <c r="F50" s="2"/>
      <c r="G50" s="2"/>
      <c r="H50" s="2"/>
      <c r="I50" s="2"/>
      <c r="J50" s="2"/>
      <c r="K50" s="2"/>
      <c r="L50" s="2"/>
      <c r="M50" s="2"/>
      <c r="N50" s="2"/>
      <c r="S50" s="51"/>
    </row>
    <row r="51" spans="2:19">
      <c r="B51" s="6" t="s">
        <v>6</v>
      </c>
      <c r="C51" s="885" t="s">
        <v>30</v>
      </c>
      <c r="D51" s="885"/>
      <c r="E51" s="885" t="s">
        <v>30</v>
      </c>
      <c r="F51" s="885"/>
      <c r="G51" s="885" t="s">
        <v>30</v>
      </c>
      <c r="H51" s="885"/>
      <c r="I51" s="885" t="s">
        <v>30</v>
      </c>
      <c r="J51" s="885"/>
      <c r="K51" s="885" t="s">
        <v>30</v>
      </c>
      <c r="L51" s="886"/>
      <c r="M51" s="107"/>
      <c r="N51" s="107"/>
      <c r="S51" s="51"/>
    </row>
    <row r="52" spans="2:19">
      <c r="B52" s="104" t="str">
        <f t="shared" ref="B52:B83" si="3">IF($D$1=1,O:O,IF($D$1=2,P:P,IF($D$1=3,Q:Q,IF($D$1=4,R:R,IF($D$1=5,S:S)))))</f>
        <v>Čiré</v>
      </c>
      <c r="C52" s="857">
        <f t="shared" ref="C52:C83" si="4">IF($D$1=1,E:E,IF($D$1=2,G:G,IF($D$1=3,I:I,IF($D$1=4,K:K,IF($D$1=5,M:M)))))</f>
        <v>504.7</v>
      </c>
      <c r="D52" s="857">
        <f>IF($D$1=1,F52,IF($D$1=2,H52,IF($D$1=3,J52,IF($D$1=4,L52,0))))</f>
        <v>0</v>
      </c>
      <c r="E52" s="875">
        <v>504.7</v>
      </c>
      <c r="F52" s="876"/>
      <c r="G52" s="877">
        <v>19.600000000000001</v>
      </c>
      <c r="H52" s="878"/>
      <c r="I52" s="877">
        <v>75.384615384615387</v>
      </c>
      <c r="J52" s="878"/>
      <c r="K52" s="879">
        <v>4508</v>
      </c>
      <c r="L52" s="880"/>
      <c r="M52" s="109"/>
      <c r="N52" s="109"/>
      <c r="O52" s="42" t="s">
        <v>675</v>
      </c>
      <c r="P52" s="43" t="s">
        <v>676</v>
      </c>
      <c r="Q52" s="43" t="s">
        <v>677</v>
      </c>
      <c r="R52" s="44" t="s">
        <v>678</v>
      </c>
      <c r="S52" s="51" t="s">
        <v>1613</v>
      </c>
    </row>
    <row r="53" spans="2:19">
      <c r="B53" s="104" t="str">
        <f t="shared" si="3"/>
        <v>Čiré kalené (dodání 3 týdny)</v>
      </c>
      <c r="C53" s="857">
        <f t="shared" si="4"/>
        <v>1019.7</v>
      </c>
      <c r="D53" s="857">
        <f t="shared" ref="D53:D112" si="5">IF($D$1=1,F53,IF($D$1=2,H53,IF($D$1=3,J53,IF($D$1=4,L53,0))))</f>
        <v>0</v>
      </c>
      <c r="E53" s="858">
        <v>1019.7</v>
      </c>
      <c r="F53" s="859"/>
      <c r="G53" s="881">
        <v>39.6</v>
      </c>
      <c r="H53" s="882"/>
      <c r="I53" s="881">
        <v>152.30769230769232</v>
      </c>
      <c r="J53" s="882"/>
      <c r="K53" s="879">
        <v>9108</v>
      </c>
      <c r="L53" s="880"/>
      <c r="M53" s="109"/>
      <c r="N53" s="109"/>
      <c r="O53" s="42" t="s">
        <v>918</v>
      </c>
      <c r="P53" s="43" t="s">
        <v>919</v>
      </c>
      <c r="Q53" s="43" t="s">
        <v>920</v>
      </c>
      <c r="R53" s="44" t="s">
        <v>930</v>
      </c>
      <c r="S53" s="51" t="s">
        <v>1614</v>
      </c>
    </row>
    <row r="54" spans="2:19">
      <c r="B54" s="104" t="str">
        <f t="shared" si="3"/>
        <v>Satinato</v>
      </c>
      <c r="C54" s="857">
        <f t="shared" si="4"/>
        <v>1442</v>
      </c>
      <c r="D54" s="857">
        <f t="shared" si="5"/>
        <v>0</v>
      </c>
      <c r="E54" s="858">
        <v>1442</v>
      </c>
      <c r="F54" s="859"/>
      <c r="G54" s="872">
        <v>56</v>
      </c>
      <c r="H54" s="872"/>
      <c r="I54" s="872">
        <v>215.38461538461539</v>
      </c>
      <c r="J54" s="872"/>
      <c r="K54" s="873">
        <v>12879.999999999998</v>
      </c>
      <c r="L54" s="874"/>
      <c r="M54" s="110"/>
      <c r="N54" s="110"/>
      <c r="O54" s="7" t="s">
        <v>680</v>
      </c>
      <c r="P54" s="40" t="s">
        <v>680</v>
      </c>
      <c r="Q54" s="40" t="s">
        <v>680</v>
      </c>
      <c r="R54" s="41" t="s">
        <v>680</v>
      </c>
      <c r="S54" s="51" t="s">
        <v>680</v>
      </c>
    </row>
    <row r="55" spans="2:19">
      <c r="B55" s="104" t="str">
        <f t="shared" si="3"/>
        <v>Satinato kalené (dodání 3 týdny)</v>
      </c>
      <c r="C55" s="857">
        <f t="shared" si="4"/>
        <v>2214.5</v>
      </c>
      <c r="D55" s="857">
        <f t="shared" si="5"/>
        <v>0</v>
      </c>
      <c r="E55" s="858">
        <v>2214.5</v>
      </c>
      <c r="F55" s="859"/>
      <c r="G55" s="872">
        <v>86</v>
      </c>
      <c r="H55" s="872"/>
      <c r="I55" s="872">
        <v>330.76923076923077</v>
      </c>
      <c r="J55" s="872"/>
      <c r="K55" s="873">
        <v>19780</v>
      </c>
      <c r="L55" s="874"/>
      <c r="M55" s="110"/>
      <c r="N55" s="110"/>
      <c r="O55" s="7" t="s">
        <v>917</v>
      </c>
      <c r="P55" s="40" t="s">
        <v>922</v>
      </c>
      <c r="Q55" s="40" t="s">
        <v>921</v>
      </c>
      <c r="R55" s="41" t="s">
        <v>931</v>
      </c>
      <c r="S55" s="51" t="s">
        <v>1615</v>
      </c>
    </row>
    <row r="56" spans="2:19">
      <c r="B56" s="104" t="str">
        <f t="shared" si="3"/>
        <v>Satinato hnědé</v>
      </c>
      <c r="C56" s="857">
        <f t="shared" si="4"/>
        <v>1810.74</v>
      </c>
      <c r="D56" s="857">
        <f t="shared" si="5"/>
        <v>0</v>
      </c>
      <c r="E56" s="858">
        <v>1810.74</v>
      </c>
      <c r="F56" s="859"/>
      <c r="G56" s="872">
        <v>70.319999999999993</v>
      </c>
      <c r="H56" s="872"/>
      <c r="I56" s="872">
        <v>270.46153846153845</v>
      </c>
      <c r="J56" s="872"/>
      <c r="K56" s="873">
        <v>16173.599999999999</v>
      </c>
      <c r="L56" s="874"/>
      <c r="M56" s="110"/>
      <c r="N56" s="110"/>
      <c r="O56" s="7" t="s">
        <v>1329</v>
      </c>
      <c r="P56" s="7" t="s">
        <v>1532</v>
      </c>
      <c r="Q56" s="7" t="s">
        <v>1535</v>
      </c>
      <c r="R56" s="7" t="s">
        <v>1533</v>
      </c>
      <c r="S56" s="51" t="s">
        <v>1616</v>
      </c>
    </row>
    <row r="57" spans="2:19">
      <c r="B57" s="104" t="str">
        <f t="shared" si="3"/>
        <v>Satinato grafit</v>
      </c>
      <c r="C57" s="857">
        <f t="shared" si="4"/>
        <v>1810.74</v>
      </c>
      <c r="D57" s="857">
        <f t="shared" si="5"/>
        <v>0</v>
      </c>
      <c r="E57" s="858">
        <v>1810.74</v>
      </c>
      <c r="F57" s="859"/>
      <c r="G57" s="872">
        <v>70.319999999999993</v>
      </c>
      <c r="H57" s="872"/>
      <c r="I57" s="872">
        <v>270.46153846153845</v>
      </c>
      <c r="J57" s="872"/>
      <c r="K57" s="873">
        <v>16173.599999999999</v>
      </c>
      <c r="L57" s="874"/>
      <c r="M57" s="110"/>
      <c r="N57" s="110"/>
      <c r="O57" s="7" t="s">
        <v>1330</v>
      </c>
      <c r="P57" s="7" t="s">
        <v>1330</v>
      </c>
      <c r="Q57" s="7" t="s">
        <v>1330</v>
      </c>
      <c r="R57" s="7" t="s">
        <v>1330</v>
      </c>
      <c r="S57" s="51" t="s">
        <v>1617</v>
      </c>
    </row>
    <row r="58" spans="2:19">
      <c r="B58" s="104" t="str">
        <f t="shared" si="3"/>
        <v>Screen</v>
      </c>
      <c r="C58" s="857">
        <f t="shared" si="4"/>
        <v>1419.3400000000001</v>
      </c>
      <c r="D58" s="857">
        <f t="shared" si="5"/>
        <v>0</v>
      </c>
      <c r="E58" s="858">
        <v>1419.3400000000001</v>
      </c>
      <c r="F58" s="859"/>
      <c r="G58" s="872">
        <v>55.12</v>
      </c>
      <c r="H58" s="872"/>
      <c r="I58" s="872">
        <v>212</v>
      </c>
      <c r="J58" s="872"/>
      <c r="K58" s="873">
        <v>12677.599999999999</v>
      </c>
      <c r="L58" s="874"/>
      <c r="M58" s="110"/>
      <c r="N58" s="110"/>
      <c r="O58" s="7" t="s">
        <v>1331</v>
      </c>
      <c r="P58" s="7" t="s">
        <v>1331</v>
      </c>
      <c r="Q58" s="7" t="s">
        <v>1331</v>
      </c>
      <c r="R58" s="7" t="s">
        <v>1331</v>
      </c>
      <c r="S58" s="51" t="s">
        <v>1331</v>
      </c>
    </row>
    <row r="59" spans="2:19">
      <c r="B59" s="104" t="str">
        <f t="shared" si="3"/>
        <v>Venus VG10</v>
      </c>
      <c r="C59" s="857">
        <f t="shared" si="4"/>
        <v>2639.89</v>
      </c>
      <c r="D59" s="857">
        <f t="shared" si="5"/>
        <v>0</v>
      </c>
      <c r="E59" s="858">
        <v>2639.89</v>
      </c>
      <c r="F59" s="859"/>
      <c r="G59" s="872">
        <v>102.52</v>
      </c>
      <c r="H59" s="872"/>
      <c r="I59" s="872">
        <v>394.30769230769232</v>
      </c>
      <c r="J59" s="872"/>
      <c r="K59" s="873">
        <v>23579.599999999999</v>
      </c>
      <c r="L59" s="874"/>
      <c r="M59" s="110"/>
      <c r="N59" s="110"/>
      <c r="O59" s="7" t="s">
        <v>1332</v>
      </c>
      <c r="P59" s="7" t="s">
        <v>1332</v>
      </c>
      <c r="Q59" s="7" t="s">
        <v>1332</v>
      </c>
      <c r="R59" s="7" t="s">
        <v>1332</v>
      </c>
      <c r="S59" s="51" t="s">
        <v>1332</v>
      </c>
    </row>
    <row r="60" spans="2:19">
      <c r="B60" s="104" t="str">
        <f t="shared" si="3"/>
        <v>Stopsol bronz</v>
      </c>
      <c r="C60" s="857">
        <f t="shared" si="4"/>
        <v>2414.3200000000002</v>
      </c>
      <c r="D60" s="857">
        <f t="shared" si="5"/>
        <v>0</v>
      </c>
      <c r="E60" s="858">
        <v>2414.3200000000002</v>
      </c>
      <c r="F60" s="859"/>
      <c r="G60" s="872">
        <v>93.76</v>
      </c>
      <c r="H60" s="872"/>
      <c r="I60" s="872">
        <v>360.61538461538464</v>
      </c>
      <c r="J60" s="872"/>
      <c r="K60" s="873">
        <v>21564.799999999999</v>
      </c>
      <c r="L60" s="874"/>
      <c r="M60" s="110"/>
      <c r="N60" s="110"/>
      <c r="O60" s="7" t="s">
        <v>1333</v>
      </c>
      <c r="P60" s="7" t="s">
        <v>1333</v>
      </c>
      <c r="Q60" s="7" t="s">
        <v>1536</v>
      </c>
      <c r="R60" s="7" t="s">
        <v>1333</v>
      </c>
      <c r="S60" s="51" t="s">
        <v>1618</v>
      </c>
    </row>
    <row r="61" spans="2:19">
      <c r="B61" s="104" t="str">
        <f t="shared" si="3"/>
        <v>Lakomat</v>
      </c>
      <c r="C61" s="857">
        <f t="shared" si="4"/>
        <v>1341.06</v>
      </c>
      <c r="D61" s="857">
        <f t="shared" si="5"/>
        <v>0</v>
      </c>
      <c r="E61" s="858">
        <v>1341.06</v>
      </c>
      <c r="F61" s="859"/>
      <c r="G61" s="872">
        <v>52.08</v>
      </c>
      <c r="H61" s="872"/>
      <c r="I61" s="872">
        <v>200.30769230769232</v>
      </c>
      <c r="J61" s="872"/>
      <c r="K61" s="873">
        <v>11978.4</v>
      </c>
      <c r="L61" s="874"/>
      <c r="M61" s="110"/>
      <c r="N61" s="110"/>
      <c r="O61" s="7" t="s">
        <v>681</v>
      </c>
      <c r="P61" s="40" t="s">
        <v>681</v>
      </c>
      <c r="Q61" s="40" t="s">
        <v>681</v>
      </c>
      <c r="R61" s="41" t="s">
        <v>681</v>
      </c>
      <c r="S61" s="51" t="s">
        <v>681</v>
      </c>
    </row>
    <row r="62" spans="2:19">
      <c r="B62" s="104" t="str">
        <f t="shared" si="3"/>
        <v>Pisek</v>
      </c>
      <c r="C62" s="857">
        <f t="shared" si="4"/>
        <v>1117.55</v>
      </c>
      <c r="D62" s="857">
        <f t="shared" si="5"/>
        <v>0</v>
      </c>
      <c r="E62" s="858">
        <v>1117.55</v>
      </c>
      <c r="F62" s="859"/>
      <c r="G62" s="872">
        <v>43.4</v>
      </c>
      <c r="H62" s="872"/>
      <c r="I62" s="872">
        <v>166.92307692307693</v>
      </c>
      <c r="J62" s="872"/>
      <c r="K62" s="873">
        <v>9982</v>
      </c>
      <c r="L62" s="874"/>
      <c r="M62" s="110"/>
      <c r="N62" s="110"/>
      <c r="O62" s="7" t="s">
        <v>679</v>
      </c>
      <c r="P62" s="40" t="s">
        <v>1541</v>
      </c>
      <c r="Q62" s="40" t="s">
        <v>1540</v>
      </c>
      <c r="R62" s="41" t="s">
        <v>1539</v>
      </c>
      <c r="S62" s="51" t="s">
        <v>1619</v>
      </c>
    </row>
    <row r="63" spans="2:19">
      <c r="B63" s="104" t="str">
        <f t="shared" si="3"/>
        <v>Antisol bronz</v>
      </c>
      <c r="C63" s="857">
        <f t="shared" si="4"/>
        <v>927</v>
      </c>
      <c r="D63" s="857">
        <f t="shared" si="5"/>
        <v>0</v>
      </c>
      <c r="E63" s="858">
        <v>927</v>
      </c>
      <c r="F63" s="859"/>
      <c r="G63" s="872">
        <v>36</v>
      </c>
      <c r="H63" s="872"/>
      <c r="I63" s="872">
        <v>138.46153846153845</v>
      </c>
      <c r="J63" s="872"/>
      <c r="K63" s="873">
        <v>8280</v>
      </c>
      <c r="L63" s="874"/>
      <c r="M63" s="110"/>
      <c r="N63" s="110"/>
      <c r="O63" s="7" t="s">
        <v>691</v>
      </c>
      <c r="P63" s="40" t="s">
        <v>691</v>
      </c>
      <c r="Q63" s="40" t="s">
        <v>691</v>
      </c>
      <c r="R63" s="41" t="s">
        <v>691</v>
      </c>
      <c r="S63" s="51" t="s">
        <v>1620</v>
      </c>
    </row>
    <row r="64" spans="2:19">
      <c r="B64" s="104" t="str">
        <f t="shared" si="3"/>
        <v>Antisol grafit</v>
      </c>
      <c r="C64" s="857">
        <f t="shared" si="4"/>
        <v>927</v>
      </c>
      <c r="D64" s="857">
        <f t="shared" si="5"/>
        <v>0</v>
      </c>
      <c r="E64" s="858">
        <v>927</v>
      </c>
      <c r="F64" s="859"/>
      <c r="G64" s="872">
        <v>36</v>
      </c>
      <c r="H64" s="872"/>
      <c r="I64" s="872">
        <v>138.46153846153845</v>
      </c>
      <c r="J64" s="872"/>
      <c r="K64" s="873">
        <v>8280</v>
      </c>
      <c r="L64" s="874"/>
      <c r="M64" s="110"/>
      <c r="N64" s="110"/>
      <c r="O64" s="7" t="s">
        <v>692</v>
      </c>
      <c r="P64" s="40" t="s">
        <v>692</v>
      </c>
      <c r="Q64" s="40" t="s">
        <v>692</v>
      </c>
      <c r="R64" s="41" t="s">
        <v>692</v>
      </c>
      <c r="S64" s="51" t="s">
        <v>1621</v>
      </c>
    </row>
    <row r="65" spans="2:19">
      <c r="B65" s="104" t="str">
        <f t="shared" si="3"/>
        <v>Zrcadlo</v>
      </c>
      <c r="C65" s="857">
        <f t="shared" si="4"/>
        <v>844.6</v>
      </c>
      <c r="D65" s="857">
        <f t="shared" si="5"/>
        <v>0</v>
      </c>
      <c r="E65" s="858">
        <v>844.6</v>
      </c>
      <c r="F65" s="859"/>
      <c r="G65" s="872">
        <v>32.799999999999997</v>
      </c>
      <c r="H65" s="872"/>
      <c r="I65" s="872">
        <v>126.15384615384616</v>
      </c>
      <c r="J65" s="872"/>
      <c r="K65" s="873">
        <v>7543.9999999999991</v>
      </c>
      <c r="L65" s="874"/>
      <c r="M65" s="110"/>
      <c r="N65" s="110"/>
      <c r="O65" s="7" t="s">
        <v>682</v>
      </c>
      <c r="P65" s="40" t="s">
        <v>683</v>
      </c>
      <c r="Q65" s="40" t="s">
        <v>684</v>
      </c>
      <c r="R65" s="41" t="s">
        <v>586</v>
      </c>
      <c r="S65" s="51" t="s">
        <v>1622</v>
      </c>
    </row>
    <row r="66" spans="2:19">
      <c r="B66" s="104" t="str">
        <f t="shared" si="3"/>
        <v>Zrcadlo hnědé</v>
      </c>
      <c r="C66" s="857">
        <f t="shared" si="4"/>
        <v>1128.8800000000001</v>
      </c>
      <c r="D66" s="857">
        <f t="shared" si="5"/>
        <v>0</v>
      </c>
      <c r="E66" s="858">
        <v>1128.8800000000001</v>
      </c>
      <c r="F66" s="859"/>
      <c r="G66" s="872">
        <v>43.84</v>
      </c>
      <c r="H66" s="872"/>
      <c r="I66" s="872">
        <v>168.61538461538461</v>
      </c>
      <c r="J66" s="872"/>
      <c r="K66" s="873">
        <v>10083.199999999999</v>
      </c>
      <c r="L66" s="874"/>
      <c r="M66" s="110"/>
      <c r="N66" s="110"/>
      <c r="O66" s="7" t="s">
        <v>1526</v>
      </c>
      <c r="P66" s="40" t="s">
        <v>1534</v>
      </c>
      <c r="Q66" s="40" t="s">
        <v>1537</v>
      </c>
      <c r="R66" s="41" t="s">
        <v>1538</v>
      </c>
      <c r="S66" s="51" t="s">
        <v>1623</v>
      </c>
    </row>
    <row r="67" spans="2:19">
      <c r="B67" s="104" t="str">
        <f t="shared" si="3"/>
        <v>Zrcadlo grafit</v>
      </c>
      <c r="C67" s="857">
        <f t="shared" si="4"/>
        <v>1128.8800000000001</v>
      </c>
      <c r="D67" s="857">
        <f t="shared" si="5"/>
        <v>0</v>
      </c>
      <c r="E67" s="858">
        <v>1128.8800000000001</v>
      </c>
      <c r="F67" s="859"/>
      <c r="G67" s="872">
        <v>43.84</v>
      </c>
      <c r="H67" s="872"/>
      <c r="I67" s="872">
        <v>168.61538461538461</v>
      </c>
      <c r="J67" s="872"/>
      <c r="K67" s="873">
        <v>10083.199999999999</v>
      </c>
      <c r="L67" s="874"/>
      <c r="M67" s="110"/>
      <c r="N67" s="110"/>
      <c r="O67" s="7" t="s">
        <v>1527</v>
      </c>
      <c r="P67" s="40" t="s">
        <v>1528</v>
      </c>
      <c r="Q67" s="40" t="s">
        <v>1529</v>
      </c>
      <c r="R67" s="41" t="s">
        <v>1530</v>
      </c>
      <c r="S67" s="51" t="s">
        <v>1624</v>
      </c>
    </row>
    <row r="68" spans="2:19">
      <c r="B68" s="104" t="str">
        <f t="shared" si="3"/>
        <v>Zrcadlo + bezpečnostní fólie</v>
      </c>
      <c r="C68" s="857">
        <f t="shared" si="4"/>
        <v>952.75</v>
      </c>
      <c r="D68" s="857">
        <f t="shared" si="5"/>
        <v>0</v>
      </c>
      <c r="E68" s="858">
        <v>952.75</v>
      </c>
      <c r="F68" s="859"/>
      <c r="G68" s="872">
        <v>37</v>
      </c>
      <c r="H68" s="872"/>
      <c r="I68" s="872">
        <v>142.30769230769232</v>
      </c>
      <c r="J68" s="872"/>
      <c r="K68" s="873">
        <v>8510</v>
      </c>
      <c r="L68" s="874"/>
      <c r="M68" s="110"/>
      <c r="N68" s="110"/>
      <c r="O68" s="7" t="s">
        <v>706</v>
      </c>
      <c r="P68" s="40" t="s">
        <v>970</v>
      </c>
      <c r="Q68" s="40" t="s">
        <v>923</v>
      </c>
      <c r="R68" s="41" t="s">
        <v>932</v>
      </c>
      <c r="S68" s="51" t="s">
        <v>1625</v>
      </c>
    </row>
    <row r="69" spans="2:19">
      <c r="B69" s="104" t="str">
        <f t="shared" si="3"/>
        <v>Krizet</v>
      </c>
      <c r="C69" s="857">
        <f t="shared" si="4"/>
        <v>1419.3400000000001</v>
      </c>
      <c r="D69" s="857">
        <f t="shared" si="5"/>
        <v>0</v>
      </c>
      <c r="E69" s="858">
        <v>1419.3400000000001</v>
      </c>
      <c r="F69" s="859"/>
      <c r="G69" s="872">
        <v>55.12</v>
      </c>
      <c r="H69" s="872"/>
      <c r="I69" s="872">
        <v>212</v>
      </c>
      <c r="J69" s="872"/>
      <c r="K69" s="873">
        <v>12677.599999999999</v>
      </c>
      <c r="L69" s="874"/>
      <c r="M69" s="111"/>
      <c r="N69" s="111"/>
      <c r="O69" s="50" t="s">
        <v>1531</v>
      </c>
      <c r="P69" s="50" t="s">
        <v>1531</v>
      </c>
      <c r="Q69" s="50" t="s">
        <v>1531</v>
      </c>
      <c r="R69" s="50" t="s">
        <v>1531</v>
      </c>
      <c r="S69" s="51" t="s">
        <v>1531</v>
      </c>
    </row>
    <row r="70" spans="2:19">
      <c r="B70" s="104" t="str">
        <f t="shared" si="3"/>
        <v>Master (Carre)</v>
      </c>
      <c r="C70" s="857">
        <f t="shared" si="4"/>
        <v>1419.3400000000001</v>
      </c>
      <c r="D70" s="857">
        <f t="shared" si="5"/>
        <v>0</v>
      </c>
      <c r="E70" s="858">
        <v>1419.3400000000001</v>
      </c>
      <c r="F70" s="859"/>
      <c r="G70" s="869">
        <v>55.12</v>
      </c>
      <c r="H70" s="869"/>
      <c r="I70" s="869">
        <v>212</v>
      </c>
      <c r="J70" s="869"/>
      <c r="K70" s="870">
        <v>12677.599999999999</v>
      </c>
      <c r="L70" s="871"/>
      <c r="M70" s="111"/>
      <c r="N70" s="111"/>
      <c r="O70" s="50" t="s">
        <v>685</v>
      </c>
      <c r="P70" s="40" t="s">
        <v>685</v>
      </c>
      <c r="Q70" s="40" t="s">
        <v>685</v>
      </c>
      <c r="R70" s="41" t="s">
        <v>685</v>
      </c>
      <c r="S70" s="51" t="s">
        <v>685</v>
      </c>
    </row>
    <row r="71" spans="2:19">
      <c r="B71" s="104" t="str">
        <f t="shared" si="3"/>
        <v xml:space="preserve">Master  Lens </v>
      </c>
      <c r="C71" s="857">
        <f t="shared" si="4"/>
        <v>1419.3400000000001</v>
      </c>
      <c r="D71" s="857">
        <f t="shared" si="5"/>
        <v>0</v>
      </c>
      <c r="E71" s="858">
        <v>1419.3400000000001</v>
      </c>
      <c r="F71" s="859"/>
      <c r="G71" s="869">
        <v>55.12</v>
      </c>
      <c r="H71" s="869"/>
      <c r="I71" s="869">
        <v>212</v>
      </c>
      <c r="J71" s="869"/>
      <c r="K71" s="870">
        <v>12677.599999999999</v>
      </c>
      <c r="L71" s="871"/>
      <c r="M71" s="111"/>
      <c r="N71" s="111"/>
      <c r="O71" s="50" t="s">
        <v>686</v>
      </c>
      <c r="P71" s="40" t="s">
        <v>686</v>
      </c>
      <c r="Q71" s="40" t="s">
        <v>686</v>
      </c>
      <c r="R71" s="41" t="s">
        <v>686</v>
      </c>
      <c r="S71" s="51" t="s">
        <v>1626</v>
      </c>
    </row>
    <row r="72" spans="2:19">
      <c r="B72" s="104" t="str">
        <f t="shared" si="3"/>
        <v>Master  Ligne</v>
      </c>
      <c r="C72" s="857">
        <f t="shared" si="4"/>
        <v>1419.3400000000001</v>
      </c>
      <c r="D72" s="857">
        <f t="shared" si="5"/>
        <v>0</v>
      </c>
      <c r="E72" s="858">
        <v>1419.3400000000001</v>
      </c>
      <c r="F72" s="859"/>
      <c r="G72" s="863">
        <v>55.12</v>
      </c>
      <c r="H72" s="863"/>
      <c r="I72" s="863">
        <v>212</v>
      </c>
      <c r="J72" s="863"/>
      <c r="K72" s="864">
        <v>12677.599999999999</v>
      </c>
      <c r="L72" s="865"/>
      <c r="M72" s="112"/>
      <c r="N72" s="112"/>
      <c r="O72" s="54" t="s">
        <v>687</v>
      </c>
      <c r="P72" s="40" t="s">
        <v>687</v>
      </c>
      <c r="Q72" s="40" t="s">
        <v>687</v>
      </c>
      <c r="R72" s="41" t="s">
        <v>687</v>
      </c>
      <c r="S72" s="51" t="s">
        <v>1627</v>
      </c>
    </row>
    <row r="73" spans="2:19">
      <c r="B73" s="104" t="str">
        <f t="shared" si="3"/>
        <v>Master  Point</v>
      </c>
      <c r="C73" s="857">
        <f t="shared" si="4"/>
        <v>1419.3400000000001</v>
      </c>
      <c r="D73" s="857">
        <f t="shared" si="5"/>
        <v>0</v>
      </c>
      <c r="E73" s="858">
        <v>1419.3400000000001</v>
      </c>
      <c r="F73" s="859"/>
      <c r="G73" s="863">
        <v>55.12</v>
      </c>
      <c r="H73" s="863"/>
      <c r="I73" s="863">
        <v>212</v>
      </c>
      <c r="J73" s="863"/>
      <c r="K73" s="864">
        <v>12677.599999999999</v>
      </c>
      <c r="L73" s="865"/>
      <c r="M73" s="112"/>
      <c r="N73" s="112"/>
      <c r="O73" s="54" t="s">
        <v>688</v>
      </c>
      <c r="P73" s="40" t="s">
        <v>688</v>
      </c>
      <c r="Q73" s="40" t="s">
        <v>688</v>
      </c>
      <c r="R73" s="41" t="s">
        <v>688</v>
      </c>
      <c r="S73" s="51" t="s">
        <v>1628</v>
      </c>
    </row>
    <row r="74" spans="2:19">
      <c r="B74" s="104" t="str">
        <f t="shared" si="3"/>
        <v xml:space="preserve">Master  Ray </v>
      </c>
      <c r="C74" s="857">
        <f t="shared" si="4"/>
        <v>1419.3400000000001</v>
      </c>
      <c r="D74" s="857">
        <f t="shared" si="5"/>
        <v>0</v>
      </c>
      <c r="E74" s="858">
        <v>1419.3400000000001</v>
      </c>
      <c r="F74" s="859"/>
      <c r="G74" s="860">
        <v>55.12</v>
      </c>
      <c r="H74" s="860"/>
      <c r="I74" s="860">
        <v>212</v>
      </c>
      <c r="J74" s="860"/>
      <c r="K74" s="861">
        <v>12677.599999999999</v>
      </c>
      <c r="L74" s="862"/>
      <c r="M74" s="113"/>
      <c r="N74" s="113"/>
      <c r="O74" s="9" t="s">
        <v>689</v>
      </c>
      <c r="P74" s="40" t="s">
        <v>689</v>
      </c>
      <c r="Q74" s="40" t="s">
        <v>689</v>
      </c>
      <c r="R74" s="41" t="s">
        <v>689</v>
      </c>
      <c r="S74" s="51" t="s">
        <v>1629</v>
      </c>
    </row>
    <row r="75" spans="2:19" ht="15.75" thickBot="1">
      <c r="B75" s="104" t="str">
        <f t="shared" si="3"/>
        <v>Master  Shine</v>
      </c>
      <c r="C75" s="857">
        <f t="shared" si="4"/>
        <v>1419.3400000000001</v>
      </c>
      <c r="D75" s="857">
        <f t="shared" si="5"/>
        <v>0</v>
      </c>
      <c r="E75" s="858">
        <v>1419.3400000000001</v>
      </c>
      <c r="F75" s="859"/>
      <c r="G75" s="866">
        <v>55.12</v>
      </c>
      <c r="H75" s="866"/>
      <c r="I75" s="866">
        <v>212</v>
      </c>
      <c r="J75" s="866"/>
      <c r="K75" s="867">
        <v>12677.599999999999</v>
      </c>
      <c r="L75" s="868"/>
      <c r="M75" s="114"/>
      <c r="N75" s="114"/>
      <c r="O75" s="95" t="s">
        <v>690</v>
      </c>
      <c r="P75" s="49" t="s">
        <v>690</v>
      </c>
      <c r="Q75" s="49" t="s">
        <v>690</v>
      </c>
      <c r="R75" s="53" t="s">
        <v>690</v>
      </c>
      <c r="S75" s="51" t="s">
        <v>1630</v>
      </c>
    </row>
    <row r="76" spans="2:19">
      <c r="B76" s="104" t="str">
        <f t="shared" si="3"/>
        <v>Lacobel RAL 1013</v>
      </c>
      <c r="C76" s="857">
        <f t="shared" si="4"/>
        <v>1812.8</v>
      </c>
      <c r="D76" s="857">
        <f t="shared" si="5"/>
        <v>0</v>
      </c>
      <c r="E76" s="858">
        <v>1812.8</v>
      </c>
      <c r="F76" s="859"/>
      <c r="G76" s="863">
        <v>70.400000000000006</v>
      </c>
      <c r="H76" s="863"/>
      <c r="I76" s="863">
        <v>270.76923076923077</v>
      </c>
      <c r="J76" s="863"/>
      <c r="K76" s="864">
        <v>16191.999999999998</v>
      </c>
      <c r="L76" s="865"/>
      <c r="M76" s="112"/>
      <c r="N76" s="112"/>
      <c r="O76" s="8" t="s">
        <v>48</v>
      </c>
      <c r="P76" s="55" t="s">
        <v>48</v>
      </c>
      <c r="Q76" s="55" t="s">
        <v>48</v>
      </c>
      <c r="R76" s="56" t="s">
        <v>48</v>
      </c>
      <c r="S76" s="51" t="s">
        <v>48</v>
      </c>
    </row>
    <row r="77" spans="2:19">
      <c r="B77" s="104" t="str">
        <f t="shared" si="3"/>
        <v>Lacobel RAL 1014</v>
      </c>
      <c r="C77" s="857">
        <f t="shared" si="4"/>
        <v>1493.5</v>
      </c>
      <c r="D77" s="857">
        <f t="shared" si="5"/>
        <v>0</v>
      </c>
      <c r="E77" s="858">
        <v>1493.5</v>
      </c>
      <c r="F77" s="859"/>
      <c r="G77" s="860">
        <v>58</v>
      </c>
      <c r="H77" s="860"/>
      <c r="I77" s="860">
        <v>223.07692307692307</v>
      </c>
      <c r="J77" s="860"/>
      <c r="K77" s="861">
        <v>13339.999999999998</v>
      </c>
      <c r="L77" s="862"/>
      <c r="M77" s="113"/>
      <c r="N77" s="113"/>
      <c r="O77" s="9" t="s">
        <v>49</v>
      </c>
      <c r="P77" s="55" t="s">
        <v>49</v>
      </c>
      <c r="Q77" s="55" t="s">
        <v>49</v>
      </c>
      <c r="R77" s="56" t="s">
        <v>49</v>
      </c>
      <c r="S77" s="51" t="s">
        <v>49</v>
      </c>
    </row>
    <row r="78" spans="2:19">
      <c r="B78" s="104" t="str">
        <f t="shared" si="3"/>
        <v>Lacobel RAL 1015</v>
      </c>
      <c r="C78" s="857">
        <f t="shared" si="4"/>
        <v>1493.5</v>
      </c>
      <c r="D78" s="857">
        <f t="shared" si="5"/>
        <v>0</v>
      </c>
      <c r="E78" s="858">
        <v>1493.5</v>
      </c>
      <c r="F78" s="859"/>
      <c r="G78" s="860">
        <v>58</v>
      </c>
      <c r="H78" s="860"/>
      <c r="I78" s="860">
        <v>223.07692307692307</v>
      </c>
      <c r="J78" s="860"/>
      <c r="K78" s="861">
        <v>13339.999999999998</v>
      </c>
      <c r="L78" s="862"/>
      <c r="M78" s="113"/>
      <c r="N78" s="113"/>
      <c r="O78" s="9" t="s">
        <v>32</v>
      </c>
      <c r="P78" s="45" t="s">
        <v>32</v>
      </c>
      <c r="Q78" s="45" t="s">
        <v>32</v>
      </c>
      <c r="R78" s="46" t="s">
        <v>32</v>
      </c>
      <c r="S78" s="51" t="s">
        <v>32</v>
      </c>
    </row>
    <row r="79" spans="2:19" ht="15.75" thickBot="1">
      <c r="B79" s="104" t="str">
        <f t="shared" si="3"/>
        <v>Lacobel RAL 2001</v>
      </c>
      <c r="C79" s="857">
        <f t="shared" si="4"/>
        <v>1493.5</v>
      </c>
      <c r="D79" s="857">
        <f t="shared" si="5"/>
        <v>0</v>
      </c>
      <c r="E79" s="858">
        <v>1493.5</v>
      </c>
      <c r="F79" s="859"/>
      <c r="G79" s="860">
        <v>58</v>
      </c>
      <c r="H79" s="860"/>
      <c r="I79" s="860">
        <v>223.07692307692307</v>
      </c>
      <c r="J79" s="860"/>
      <c r="K79" s="861">
        <v>13339.999999999998</v>
      </c>
      <c r="L79" s="862"/>
      <c r="M79" s="113"/>
      <c r="N79" s="113"/>
      <c r="O79" s="9" t="s">
        <v>38</v>
      </c>
      <c r="P79" s="96" t="s">
        <v>38</v>
      </c>
      <c r="Q79" s="96" t="s">
        <v>38</v>
      </c>
      <c r="R79" s="97" t="s">
        <v>38</v>
      </c>
      <c r="S79" s="51" t="s">
        <v>38</v>
      </c>
    </row>
    <row r="80" spans="2:19">
      <c r="B80" s="104" t="str">
        <f t="shared" si="3"/>
        <v>Lacobel RAL 3004</v>
      </c>
      <c r="C80" s="857">
        <f t="shared" si="4"/>
        <v>1493.5</v>
      </c>
      <c r="D80" s="857">
        <f t="shared" si="5"/>
        <v>0</v>
      </c>
      <c r="E80" s="858">
        <v>1493.5</v>
      </c>
      <c r="F80" s="859"/>
      <c r="G80" s="860">
        <v>58</v>
      </c>
      <c r="H80" s="860"/>
      <c r="I80" s="860">
        <v>223.07692307692307</v>
      </c>
      <c r="J80" s="860"/>
      <c r="K80" s="861">
        <v>13339.999999999998</v>
      </c>
      <c r="L80" s="862"/>
      <c r="M80" s="113"/>
      <c r="N80" s="113"/>
      <c r="O80" s="9" t="s">
        <v>39</v>
      </c>
      <c r="P80" s="98" t="s">
        <v>39</v>
      </c>
      <c r="Q80" s="98" t="s">
        <v>39</v>
      </c>
      <c r="R80" s="99" t="s">
        <v>39</v>
      </c>
      <c r="S80" s="51" t="s">
        <v>39</v>
      </c>
    </row>
    <row r="81" spans="2:19">
      <c r="B81" s="104" t="str">
        <f t="shared" si="3"/>
        <v>Lacobel RAL 4006</v>
      </c>
      <c r="C81" s="857">
        <f t="shared" si="4"/>
        <v>1493.5</v>
      </c>
      <c r="D81" s="857">
        <f t="shared" si="5"/>
        <v>0</v>
      </c>
      <c r="E81" s="858">
        <v>1493.5</v>
      </c>
      <c r="F81" s="859"/>
      <c r="G81" s="860">
        <v>58</v>
      </c>
      <c r="H81" s="860"/>
      <c r="I81" s="860">
        <v>223.07692307692307</v>
      </c>
      <c r="J81" s="860"/>
      <c r="K81" s="861">
        <v>13339.999999999998</v>
      </c>
      <c r="L81" s="862"/>
      <c r="M81" s="113"/>
      <c r="N81" s="113"/>
      <c r="O81" s="9" t="s">
        <v>40</v>
      </c>
      <c r="P81" s="45" t="s">
        <v>40</v>
      </c>
      <c r="Q81" s="45" t="s">
        <v>40</v>
      </c>
      <c r="R81" s="46" t="s">
        <v>40</v>
      </c>
      <c r="S81" s="51" t="s">
        <v>40</v>
      </c>
    </row>
    <row r="82" spans="2:19">
      <c r="B82" s="104" t="str">
        <f t="shared" si="3"/>
        <v>Lacobel RAL 5002</v>
      </c>
      <c r="C82" s="857">
        <f t="shared" si="4"/>
        <v>1493.5</v>
      </c>
      <c r="D82" s="857">
        <f t="shared" si="5"/>
        <v>0</v>
      </c>
      <c r="E82" s="858">
        <v>1493.5</v>
      </c>
      <c r="F82" s="859"/>
      <c r="G82" s="860">
        <v>58</v>
      </c>
      <c r="H82" s="860"/>
      <c r="I82" s="860">
        <v>223.07692307692307</v>
      </c>
      <c r="J82" s="860"/>
      <c r="K82" s="861">
        <v>13339.999999999998</v>
      </c>
      <c r="L82" s="862"/>
      <c r="M82" s="113"/>
      <c r="N82" s="113"/>
      <c r="O82" s="9" t="s">
        <v>33</v>
      </c>
      <c r="P82" s="45" t="s">
        <v>33</v>
      </c>
      <c r="Q82" s="45" t="s">
        <v>33</v>
      </c>
      <c r="R82" s="46" t="s">
        <v>33</v>
      </c>
      <c r="S82" s="51" t="s">
        <v>33</v>
      </c>
    </row>
    <row r="83" spans="2:19">
      <c r="B83" s="104" t="str">
        <f t="shared" si="3"/>
        <v>Lacobel RAL 7035</v>
      </c>
      <c r="C83" s="857">
        <f t="shared" si="4"/>
        <v>1493.5</v>
      </c>
      <c r="D83" s="857">
        <f t="shared" si="5"/>
        <v>0</v>
      </c>
      <c r="E83" s="858">
        <v>1493.5</v>
      </c>
      <c r="F83" s="859"/>
      <c r="G83" s="860">
        <v>58</v>
      </c>
      <c r="H83" s="860"/>
      <c r="I83" s="860">
        <v>223.07692307692307</v>
      </c>
      <c r="J83" s="860"/>
      <c r="K83" s="861">
        <v>13339.999999999998</v>
      </c>
      <c r="L83" s="862"/>
      <c r="M83" s="113"/>
      <c r="N83" s="113"/>
      <c r="O83" s="9" t="s">
        <v>43</v>
      </c>
      <c r="P83" s="45" t="s">
        <v>43</v>
      </c>
      <c r="Q83" s="45" t="s">
        <v>43</v>
      </c>
      <c r="R83" s="46" t="s">
        <v>43</v>
      </c>
      <c r="S83" s="51" t="s">
        <v>43</v>
      </c>
    </row>
    <row r="84" spans="2:19">
      <c r="B84" s="104" t="str">
        <f t="shared" ref="B84:B112" si="6">IF($D$1=1,O:O,IF($D$1=2,P:P,IF($D$1=3,Q:Q,IF($D$1=4,R:R,IF($D$1=5,S:S)))))</f>
        <v>Lacobel RAL 8017</v>
      </c>
      <c r="C84" s="857">
        <f t="shared" ref="C84:C112" si="7">IF($D$1=1,E:E,IF($D$1=2,G:G,IF($D$1=3,I:I,IF($D$1=4,K:K,IF($D$1=5,M:M)))))</f>
        <v>1493.5</v>
      </c>
      <c r="D84" s="857">
        <f t="shared" si="5"/>
        <v>0</v>
      </c>
      <c r="E84" s="858">
        <v>1493.5</v>
      </c>
      <c r="F84" s="859"/>
      <c r="G84" s="860">
        <v>58</v>
      </c>
      <c r="H84" s="860"/>
      <c r="I84" s="860">
        <v>223.07692307692307</v>
      </c>
      <c r="J84" s="860"/>
      <c r="K84" s="861">
        <v>13339.999999999998</v>
      </c>
      <c r="L84" s="862"/>
      <c r="M84" s="113"/>
      <c r="N84" s="113"/>
      <c r="O84" s="9" t="s">
        <v>47</v>
      </c>
      <c r="P84" s="45" t="s">
        <v>47</v>
      </c>
      <c r="Q84" s="45" t="s">
        <v>47</v>
      </c>
      <c r="R84" s="46" t="s">
        <v>47</v>
      </c>
      <c r="S84" s="51" t="s">
        <v>47</v>
      </c>
    </row>
    <row r="85" spans="2:19">
      <c r="B85" s="104" t="str">
        <f t="shared" si="6"/>
        <v>Lacobel RAL 9003</v>
      </c>
      <c r="C85" s="857">
        <f t="shared" si="7"/>
        <v>1812.8</v>
      </c>
      <c r="D85" s="857">
        <f t="shared" si="5"/>
        <v>0</v>
      </c>
      <c r="E85" s="858">
        <v>1812.8</v>
      </c>
      <c r="F85" s="859"/>
      <c r="G85" s="860">
        <v>70.400000000000006</v>
      </c>
      <c r="H85" s="860"/>
      <c r="I85" s="860">
        <v>270.76923076923077</v>
      </c>
      <c r="J85" s="860"/>
      <c r="K85" s="861">
        <v>16191.999999999998</v>
      </c>
      <c r="L85" s="862"/>
      <c r="M85" s="113"/>
      <c r="N85" s="113"/>
      <c r="O85" s="9" t="s">
        <v>50</v>
      </c>
      <c r="P85" s="45" t="s">
        <v>50</v>
      </c>
      <c r="Q85" s="45" t="s">
        <v>50</v>
      </c>
      <c r="R85" s="46" t="s">
        <v>50</v>
      </c>
      <c r="S85" s="51" t="s">
        <v>50</v>
      </c>
    </row>
    <row r="86" spans="2:19">
      <c r="B86" s="104" t="str">
        <f t="shared" si="6"/>
        <v>Lacobel RAL 9005</v>
      </c>
      <c r="C86" s="857">
        <f t="shared" si="7"/>
        <v>1493.5</v>
      </c>
      <c r="D86" s="857">
        <f t="shared" si="5"/>
        <v>0</v>
      </c>
      <c r="E86" s="858">
        <v>1493.5</v>
      </c>
      <c r="F86" s="859"/>
      <c r="G86" s="860">
        <v>58</v>
      </c>
      <c r="H86" s="860"/>
      <c r="I86" s="860">
        <v>223.07692307692307</v>
      </c>
      <c r="J86" s="860"/>
      <c r="K86" s="861">
        <v>13339.999999999998</v>
      </c>
      <c r="L86" s="862"/>
      <c r="M86" s="113"/>
      <c r="N86" s="113"/>
      <c r="O86" s="9" t="s">
        <v>52</v>
      </c>
      <c r="P86" s="45" t="s">
        <v>52</v>
      </c>
      <c r="Q86" s="45" t="s">
        <v>52</v>
      </c>
      <c r="R86" s="46" t="s">
        <v>52</v>
      </c>
      <c r="S86" s="51" t="s">
        <v>52</v>
      </c>
    </row>
    <row r="87" spans="2:19">
      <c r="B87" s="104" t="str">
        <f t="shared" si="6"/>
        <v>Lacobel RAL 9006</v>
      </c>
      <c r="C87" s="857">
        <f t="shared" si="7"/>
        <v>1493.5</v>
      </c>
      <c r="D87" s="857">
        <f t="shared" si="5"/>
        <v>0</v>
      </c>
      <c r="E87" s="858">
        <v>1493.5</v>
      </c>
      <c r="F87" s="859"/>
      <c r="G87" s="860">
        <v>58</v>
      </c>
      <c r="H87" s="860"/>
      <c r="I87" s="860">
        <v>223.07692307692307</v>
      </c>
      <c r="J87" s="860"/>
      <c r="K87" s="861">
        <v>13339.999999999998</v>
      </c>
      <c r="L87" s="862"/>
      <c r="M87" s="113"/>
      <c r="N87" s="113"/>
      <c r="O87" s="9" t="s">
        <v>51</v>
      </c>
      <c r="P87" s="45" t="s">
        <v>51</v>
      </c>
      <c r="Q87" s="45" t="s">
        <v>51</v>
      </c>
      <c r="R87" s="46" t="s">
        <v>51</v>
      </c>
      <c r="S87" s="51" t="s">
        <v>51</v>
      </c>
    </row>
    <row r="88" spans="2:19">
      <c r="B88" s="104" t="str">
        <f t="shared" si="6"/>
        <v>Lacobel RAL 9007</v>
      </c>
      <c r="C88" s="857">
        <f t="shared" si="7"/>
        <v>1812.8</v>
      </c>
      <c r="D88" s="857">
        <f t="shared" si="5"/>
        <v>0</v>
      </c>
      <c r="E88" s="858">
        <v>1812.8</v>
      </c>
      <c r="F88" s="859"/>
      <c r="G88" s="860">
        <v>70.400000000000006</v>
      </c>
      <c r="H88" s="860"/>
      <c r="I88" s="860">
        <v>270.76923076923077</v>
      </c>
      <c r="J88" s="860"/>
      <c r="K88" s="861">
        <v>16191.999999999998</v>
      </c>
      <c r="L88" s="862"/>
      <c r="M88" s="113"/>
      <c r="N88" s="113"/>
      <c r="O88" s="9" t="s">
        <v>969</v>
      </c>
      <c r="P88" s="45" t="s">
        <v>969</v>
      </c>
      <c r="Q88" s="45" t="s">
        <v>969</v>
      </c>
      <c r="R88" s="46" t="s">
        <v>969</v>
      </c>
      <c r="S88" s="51" t="s">
        <v>969</v>
      </c>
    </row>
    <row r="89" spans="2:19">
      <c r="B89" s="104" t="str">
        <f t="shared" si="6"/>
        <v>Lacobel RAL 9010</v>
      </c>
      <c r="C89" s="857">
        <f t="shared" si="7"/>
        <v>1493.5</v>
      </c>
      <c r="D89" s="857">
        <f t="shared" si="5"/>
        <v>0</v>
      </c>
      <c r="E89" s="858">
        <v>1493.5</v>
      </c>
      <c r="F89" s="859"/>
      <c r="G89" s="860">
        <v>58</v>
      </c>
      <c r="H89" s="860"/>
      <c r="I89" s="860">
        <v>223.07692307692307</v>
      </c>
      <c r="J89" s="860"/>
      <c r="K89" s="861">
        <v>13339.999999999998</v>
      </c>
      <c r="L89" s="862"/>
      <c r="M89" s="113"/>
      <c r="N89" s="113"/>
      <c r="O89" s="9" t="s">
        <v>34</v>
      </c>
      <c r="P89" s="45" t="s">
        <v>34</v>
      </c>
      <c r="Q89" s="45" t="s">
        <v>34</v>
      </c>
      <c r="R89" s="46" t="s">
        <v>34</v>
      </c>
      <c r="S89" s="51" t="s">
        <v>34</v>
      </c>
    </row>
    <row r="90" spans="2:19">
      <c r="B90" s="104" t="str">
        <f t="shared" si="6"/>
        <v>Lacobel REF 0128</v>
      </c>
      <c r="C90" s="857">
        <f t="shared" si="7"/>
        <v>1812.8</v>
      </c>
      <c r="D90" s="857">
        <f t="shared" si="5"/>
        <v>0</v>
      </c>
      <c r="E90" s="858">
        <v>1812.8</v>
      </c>
      <c r="F90" s="859"/>
      <c r="G90" s="860">
        <v>70.400000000000006</v>
      </c>
      <c r="H90" s="860"/>
      <c r="I90" s="860">
        <v>270.76923076923077</v>
      </c>
      <c r="J90" s="860"/>
      <c r="K90" s="861">
        <v>16191.999999999998</v>
      </c>
      <c r="L90" s="862"/>
      <c r="M90" s="113"/>
      <c r="N90" s="113"/>
      <c r="O90" s="9" t="s">
        <v>41</v>
      </c>
      <c r="P90" s="45" t="s">
        <v>41</v>
      </c>
      <c r="Q90" s="45" t="s">
        <v>41</v>
      </c>
      <c r="R90" s="46" t="s">
        <v>41</v>
      </c>
      <c r="S90" s="51" t="s">
        <v>41</v>
      </c>
    </row>
    <row r="91" spans="2:19">
      <c r="B91" s="104" t="str">
        <f t="shared" si="6"/>
        <v>Lacobel REF 0327</v>
      </c>
      <c r="C91" s="857">
        <f t="shared" si="7"/>
        <v>1812.8</v>
      </c>
      <c r="D91" s="857">
        <f t="shared" si="5"/>
        <v>0</v>
      </c>
      <c r="E91" s="858">
        <v>1812.8</v>
      </c>
      <c r="F91" s="859"/>
      <c r="G91" s="860">
        <v>70.400000000000006</v>
      </c>
      <c r="H91" s="860"/>
      <c r="I91" s="860">
        <v>270.76923076923077</v>
      </c>
      <c r="J91" s="860"/>
      <c r="K91" s="861">
        <v>16191.999999999998</v>
      </c>
      <c r="L91" s="862"/>
      <c r="M91" s="113"/>
      <c r="N91" s="113"/>
      <c r="O91" s="9" t="s">
        <v>53</v>
      </c>
      <c r="P91" s="45" t="s">
        <v>53</v>
      </c>
      <c r="Q91" s="45" t="s">
        <v>53</v>
      </c>
      <c r="R91" s="46" t="s">
        <v>53</v>
      </c>
      <c r="S91" s="51" t="s">
        <v>53</v>
      </c>
    </row>
    <row r="92" spans="2:19">
      <c r="B92" s="104" t="str">
        <f t="shared" si="6"/>
        <v>Lacobel REF 0337</v>
      </c>
      <c r="C92" s="857">
        <f t="shared" si="7"/>
        <v>1812.8</v>
      </c>
      <c r="D92" s="857">
        <f t="shared" si="5"/>
        <v>0</v>
      </c>
      <c r="E92" s="858">
        <v>1812.8</v>
      </c>
      <c r="F92" s="859"/>
      <c r="G92" s="860">
        <v>70.400000000000006</v>
      </c>
      <c r="H92" s="860"/>
      <c r="I92" s="860">
        <v>270.76923076923077</v>
      </c>
      <c r="J92" s="860"/>
      <c r="K92" s="861">
        <v>16191.999999999998</v>
      </c>
      <c r="L92" s="862"/>
      <c r="M92" s="113"/>
      <c r="N92" s="113"/>
      <c r="O92" s="9" t="s">
        <v>44</v>
      </c>
      <c r="P92" s="45" t="s">
        <v>44</v>
      </c>
      <c r="Q92" s="45" t="s">
        <v>44</v>
      </c>
      <c r="R92" s="46" t="s">
        <v>44</v>
      </c>
      <c r="S92" s="51" t="s">
        <v>44</v>
      </c>
    </row>
    <row r="93" spans="2:19">
      <c r="B93" s="104" t="str">
        <f t="shared" si="6"/>
        <v>Lacobel REF 0627</v>
      </c>
      <c r="C93" s="857">
        <f t="shared" si="7"/>
        <v>1812.8</v>
      </c>
      <c r="D93" s="857">
        <f t="shared" si="5"/>
        <v>0</v>
      </c>
      <c r="E93" s="858">
        <v>1812.8</v>
      </c>
      <c r="F93" s="859"/>
      <c r="G93" s="860">
        <v>70.400000000000006</v>
      </c>
      <c r="H93" s="860"/>
      <c r="I93" s="860">
        <v>270.76923076923077</v>
      </c>
      <c r="J93" s="860"/>
      <c r="K93" s="861">
        <v>16191.999999999998</v>
      </c>
      <c r="L93" s="862"/>
      <c r="M93" s="113"/>
      <c r="N93" s="113"/>
      <c r="O93" s="9" t="s">
        <v>45</v>
      </c>
      <c r="P93" s="45" t="s">
        <v>45</v>
      </c>
      <c r="Q93" s="45" t="s">
        <v>45</v>
      </c>
      <c r="R93" s="46" t="s">
        <v>45</v>
      </c>
      <c r="S93" s="51" t="s">
        <v>45</v>
      </c>
    </row>
    <row r="94" spans="2:19">
      <c r="B94" s="104" t="str">
        <f t="shared" si="6"/>
        <v>Lacobel REF 0667</v>
      </c>
      <c r="C94" s="857">
        <f t="shared" si="7"/>
        <v>1493.5</v>
      </c>
      <c r="D94" s="857">
        <f t="shared" si="5"/>
        <v>0</v>
      </c>
      <c r="E94" s="858">
        <v>1493.5</v>
      </c>
      <c r="F94" s="859"/>
      <c r="G94" s="860">
        <v>58</v>
      </c>
      <c r="H94" s="860"/>
      <c r="I94" s="860">
        <v>223.07692307692307</v>
      </c>
      <c r="J94" s="860"/>
      <c r="K94" s="861">
        <v>13339.999999999998</v>
      </c>
      <c r="L94" s="862"/>
      <c r="M94" s="113"/>
      <c r="N94" s="113"/>
      <c r="O94" s="9" t="s">
        <v>35</v>
      </c>
      <c r="P94" s="45" t="s">
        <v>35</v>
      </c>
      <c r="Q94" s="45" t="s">
        <v>35</v>
      </c>
      <c r="R94" s="46" t="s">
        <v>35</v>
      </c>
      <c r="S94" s="51" t="s">
        <v>35</v>
      </c>
    </row>
    <row r="95" spans="2:19">
      <c r="B95" s="104" t="str">
        <f t="shared" si="6"/>
        <v>Lacobel REF 1164</v>
      </c>
      <c r="C95" s="857">
        <f t="shared" si="7"/>
        <v>1493.5</v>
      </c>
      <c r="D95" s="857">
        <f t="shared" si="5"/>
        <v>0</v>
      </c>
      <c r="E95" s="858">
        <v>1493.5</v>
      </c>
      <c r="F95" s="859"/>
      <c r="G95" s="860">
        <v>58</v>
      </c>
      <c r="H95" s="860"/>
      <c r="I95" s="860">
        <v>223.07692307692307</v>
      </c>
      <c r="J95" s="860"/>
      <c r="K95" s="861">
        <v>13339.999999999998</v>
      </c>
      <c r="L95" s="862"/>
      <c r="M95" s="113"/>
      <c r="N95" s="113"/>
      <c r="O95" s="9" t="s">
        <v>36</v>
      </c>
      <c r="P95" s="45" t="s">
        <v>36</v>
      </c>
      <c r="Q95" s="45" t="s">
        <v>36</v>
      </c>
      <c r="R95" s="46" t="s">
        <v>36</v>
      </c>
      <c r="S95" s="51" t="s">
        <v>36</v>
      </c>
    </row>
    <row r="96" spans="2:19">
      <c r="B96" s="104" t="str">
        <f t="shared" si="6"/>
        <v>Lacobel REF 1236</v>
      </c>
      <c r="C96" s="857">
        <f t="shared" si="7"/>
        <v>1493.5</v>
      </c>
      <c r="D96" s="857">
        <f t="shared" si="5"/>
        <v>0</v>
      </c>
      <c r="E96" s="858">
        <v>1493.5</v>
      </c>
      <c r="F96" s="859"/>
      <c r="G96" s="860">
        <v>58</v>
      </c>
      <c r="H96" s="860"/>
      <c r="I96" s="860">
        <v>223.07692307692307</v>
      </c>
      <c r="J96" s="860"/>
      <c r="K96" s="861">
        <v>13339.999999999998</v>
      </c>
      <c r="L96" s="862"/>
      <c r="M96" s="113"/>
      <c r="N96" s="113"/>
      <c r="O96" s="9" t="s">
        <v>42</v>
      </c>
      <c r="P96" s="45" t="s">
        <v>42</v>
      </c>
      <c r="Q96" s="45" t="s">
        <v>42</v>
      </c>
      <c r="R96" s="46" t="s">
        <v>42</v>
      </c>
      <c r="S96" s="51" t="s">
        <v>42</v>
      </c>
    </row>
    <row r="97" spans="2:19">
      <c r="B97" s="104" t="str">
        <f t="shared" si="6"/>
        <v>Lacobel REF 1435</v>
      </c>
      <c r="C97" s="857">
        <f t="shared" si="7"/>
        <v>1493.5</v>
      </c>
      <c r="D97" s="857">
        <f t="shared" si="5"/>
        <v>0</v>
      </c>
      <c r="E97" s="858">
        <v>1493.5</v>
      </c>
      <c r="F97" s="859"/>
      <c r="G97" s="860">
        <v>58</v>
      </c>
      <c r="H97" s="860"/>
      <c r="I97" s="860">
        <v>223.07692307692307</v>
      </c>
      <c r="J97" s="860"/>
      <c r="K97" s="861">
        <v>13339.999999999998</v>
      </c>
      <c r="L97" s="862"/>
      <c r="M97" s="113"/>
      <c r="N97" s="113"/>
      <c r="O97" s="9" t="s">
        <v>37</v>
      </c>
      <c r="P97" s="45" t="s">
        <v>37</v>
      </c>
      <c r="Q97" s="45" t="s">
        <v>37</v>
      </c>
      <c r="R97" s="46" t="s">
        <v>37</v>
      </c>
      <c r="S97" s="51" t="s">
        <v>37</v>
      </c>
    </row>
    <row r="98" spans="2:19">
      <c r="B98" s="104" t="str">
        <f t="shared" si="6"/>
        <v>Lacobel REF 1586</v>
      </c>
      <c r="C98" s="857">
        <f t="shared" si="7"/>
        <v>1493.5</v>
      </c>
      <c r="D98" s="857">
        <f t="shared" si="5"/>
        <v>0</v>
      </c>
      <c r="E98" s="858">
        <v>1493.5</v>
      </c>
      <c r="F98" s="859"/>
      <c r="G98" s="860">
        <v>58</v>
      </c>
      <c r="H98" s="860"/>
      <c r="I98" s="860">
        <v>223.07692307692307</v>
      </c>
      <c r="J98" s="860"/>
      <c r="K98" s="861">
        <v>13339.999999999998</v>
      </c>
      <c r="L98" s="862"/>
      <c r="M98" s="113"/>
      <c r="N98" s="113"/>
      <c r="O98" s="9" t="s">
        <v>54</v>
      </c>
      <c r="P98" s="45" t="s">
        <v>54</v>
      </c>
      <c r="Q98" s="45" t="s">
        <v>54</v>
      </c>
      <c r="R98" s="46" t="s">
        <v>54</v>
      </c>
      <c r="S98" s="51" t="s">
        <v>54</v>
      </c>
    </row>
    <row r="99" spans="2:19">
      <c r="B99" s="104" t="str">
        <f t="shared" si="6"/>
        <v>Lacobel REF 1603</v>
      </c>
      <c r="C99" s="857">
        <f t="shared" si="7"/>
        <v>1493.5</v>
      </c>
      <c r="D99" s="857">
        <f t="shared" si="5"/>
        <v>0</v>
      </c>
      <c r="E99" s="858">
        <v>1493.5</v>
      </c>
      <c r="F99" s="859"/>
      <c r="G99" s="860">
        <v>58</v>
      </c>
      <c r="H99" s="860"/>
      <c r="I99" s="860">
        <v>223.07692307692307</v>
      </c>
      <c r="J99" s="860"/>
      <c r="K99" s="861">
        <v>13339.999999999998</v>
      </c>
      <c r="L99" s="862"/>
      <c r="M99" s="113"/>
      <c r="N99" s="113"/>
      <c r="O99" s="9" t="s">
        <v>31</v>
      </c>
      <c r="P99" s="45" t="s">
        <v>31</v>
      </c>
      <c r="Q99" s="45" t="s">
        <v>31</v>
      </c>
      <c r="R99" s="46" t="s">
        <v>31</v>
      </c>
      <c r="S99" s="51" t="s">
        <v>31</v>
      </c>
    </row>
    <row r="100" spans="2:19">
      <c r="B100" s="104" t="str">
        <f t="shared" si="6"/>
        <v>Lacobel REF 1604</v>
      </c>
      <c r="C100" s="857">
        <f t="shared" si="7"/>
        <v>1493.5</v>
      </c>
      <c r="D100" s="857">
        <f t="shared" si="5"/>
        <v>0</v>
      </c>
      <c r="E100" s="858">
        <v>1493.5</v>
      </c>
      <c r="F100" s="859"/>
      <c r="G100" s="860">
        <v>58</v>
      </c>
      <c r="H100" s="860"/>
      <c r="I100" s="860">
        <v>223.07692307692307</v>
      </c>
      <c r="J100" s="860"/>
      <c r="K100" s="861">
        <v>13339.999999999998</v>
      </c>
      <c r="L100" s="862"/>
      <c r="M100" s="113"/>
      <c r="N100" s="113"/>
      <c r="O100" s="9" t="s">
        <v>46</v>
      </c>
      <c r="P100" s="45" t="s">
        <v>46</v>
      </c>
      <c r="Q100" s="45" t="s">
        <v>46</v>
      </c>
      <c r="R100" s="46" t="s">
        <v>46</v>
      </c>
      <c r="S100" s="51" t="s">
        <v>46</v>
      </c>
    </row>
    <row r="101" spans="2:19">
      <c r="B101" s="104" t="str">
        <f t="shared" si="6"/>
        <v>Matelac RAL 2001</v>
      </c>
      <c r="C101" s="857">
        <f t="shared" si="7"/>
        <v>2502.9</v>
      </c>
      <c r="D101" s="857">
        <f t="shared" si="5"/>
        <v>0</v>
      </c>
      <c r="E101" s="858">
        <v>2502.9</v>
      </c>
      <c r="F101" s="859"/>
      <c r="G101" s="860">
        <v>97.2</v>
      </c>
      <c r="H101" s="860"/>
      <c r="I101" s="860">
        <v>373.84615384615387</v>
      </c>
      <c r="J101" s="860"/>
      <c r="K101" s="861">
        <v>22356</v>
      </c>
      <c r="L101" s="862"/>
      <c r="M101" s="113"/>
      <c r="N101" s="113"/>
      <c r="O101" s="9" t="s">
        <v>61</v>
      </c>
      <c r="P101" s="45" t="s">
        <v>61</v>
      </c>
      <c r="Q101" s="45" t="s">
        <v>61</v>
      </c>
      <c r="R101" s="46" t="s">
        <v>61</v>
      </c>
      <c r="S101" s="51" t="s">
        <v>61</v>
      </c>
    </row>
    <row r="102" spans="2:19">
      <c r="B102" s="104" t="str">
        <f t="shared" si="6"/>
        <v>Matelac RAL 3004</v>
      </c>
      <c r="C102" s="857">
        <f t="shared" si="7"/>
        <v>2502.9</v>
      </c>
      <c r="D102" s="857">
        <f t="shared" si="5"/>
        <v>0</v>
      </c>
      <c r="E102" s="858">
        <v>2502.9</v>
      </c>
      <c r="F102" s="859"/>
      <c r="G102" s="860">
        <v>97.2</v>
      </c>
      <c r="H102" s="860"/>
      <c r="I102" s="860">
        <v>373.84615384615387</v>
      </c>
      <c r="J102" s="860"/>
      <c r="K102" s="861">
        <v>22356</v>
      </c>
      <c r="L102" s="862"/>
      <c r="M102" s="113"/>
      <c r="N102" s="113"/>
      <c r="O102" s="9" t="s">
        <v>63</v>
      </c>
      <c r="P102" s="45" t="s">
        <v>63</v>
      </c>
      <c r="Q102" s="45" t="s">
        <v>63</v>
      </c>
      <c r="R102" s="46" t="s">
        <v>63</v>
      </c>
      <c r="S102" s="51" t="s">
        <v>63</v>
      </c>
    </row>
    <row r="103" spans="2:19">
      <c r="B103" s="104" t="str">
        <f t="shared" si="6"/>
        <v>Matelac RAL 7021</v>
      </c>
      <c r="C103" s="857">
        <f t="shared" si="7"/>
        <v>2502.9</v>
      </c>
      <c r="D103" s="857">
        <f t="shared" si="5"/>
        <v>0</v>
      </c>
      <c r="E103" s="858">
        <v>2502.9</v>
      </c>
      <c r="F103" s="859"/>
      <c r="G103" s="860">
        <v>97.2</v>
      </c>
      <c r="H103" s="860"/>
      <c r="I103" s="860">
        <v>373.84615384615387</v>
      </c>
      <c r="J103" s="860"/>
      <c r="K103" s="861">
        <v>22356</v>
      </c>
      <c r="L103" s="862"/>
      <c r="M103" s="113"/>
      <c r="N103" s="113"/>
      <c r="O103" s="9" t="s">
        <v>59</v>
      </c>
      <c r="P103" s="45" t="s">
        <v>59</v>
      </c>
      <c r="Q103" s="45" t="s">
        <v>59</v>
      </c>
      <c r="R103" s="46" t="s">
        <v>59</v>
      </c>
      <c r="S103" s="51" t="s">
        <v>59</v>
      </c>
    </row>
    <row r="104" spans="2:19">
      <c r="B104" s="104" t="str">
        <f t="shared" si="6"/>
        <v>Matelac RAL 9003</v>
      </c>
      <c r="C104" s="857">
        <f t="shared" si="7"/>
        <v>2914.9</v>
      </c>
      <c r="D104" s="857">
        <f t="shared" si="5"/>
        <v>0</v>
      </c>
      <c r="E104" s="858">
        <v>2914.9</v>
      </c>
      <c r="F104" s="859"/>
      <c r="G104" s="860">
        <v>113.2</v>
      </c>
      <c r="H104" s="860"/>
      <c r="I104" s="860">
        <v>435.38461538461536</v>
      </c>
      <c r="J104" s="860"/>
      <c r="K104" s="861">
        <v>26035.999999999996</v>
      </c>
      <c r="L104" s="862"/>
      <c r="M104" s="113"/>
      <c r="N104" s="113"/>
      <c r="O104" s="9" t="s">
        <v>56</v>
      </c>
      <c r="P104" s="45" t="s">
        <v>56</v>
      </c>
      <c r="Q104" s="45" t="s">
        <v>56</v>
      </c>
      <c r="R104" s="46" t="s">
        <v>56</v>
      </c>
      <c r="S104" s="51" t="s">
        <v>56</v>
      </c>
    </row>
    <row r="105" spans="2:19">
      <c r="B105" s="104" t="str">
        <f t="shared" si="6"/>
        <v>Matelac RAL 9005</v>
      </c>
      <c r="C105" s="857">
        <f t="shared" si="7"/>
        <v>2502.9</v>
      </c>
      <c r="D105" s="857">
        <f t="shared" si="5"/>
        <v>0</v>
      </c>
      <c r="E105" s="858">
        <v>2502.9</v>
      </c>
      <c r="F105" s="859"/>
      <c r="G105" s="860">
        <v>97.2</v>
      </c>
      <c r="H105" s="860"/>
      <c r="I105" s="860">
        <v>373.84615384615387</v>
      </c>
      <c r="J105" s="860"/>
      <c r="K105" s="861">
        <v>22356</v>
      </c>
      <c r="L105" s="862"/>
      <c r="M105" s="113"/>
      <c r="N105" s="113"/>
      <c r="O105" s="9" t="s">
        <v>60</v>
      </c>
      <c r="P105" s="45" t="s">
        <v>60</v>
      </c>
      <c r="Q105" s="45" t="s">
        <v>60</v>
      </c>
      <c r="R105" s="46" t="s">
        <v>60</v>
      </c>
      <c r="S105" s="51" t="s">
        <v>60</v>
      </c>
    </row>
    <row r="106" spans="2:19">
      <c r="B106" s="104" t="str">
        <f t="shared" si="6"/>
        <v>Matelac RAL 9006</v>
      </c>
      <c r="C106" s="857">
        <f t="shared" si="7"/>
        <v>2502.9</v>
      </c>
      <c r="D106" s="857">
        <f t="shared" si="5"/>
        <v>0</v>
      </c>
      <c r="E106" s="858">
        <v>2502.9</v>
      </c>
      <c r="F106" s="859"/>
      <c r="G106" s="860">
        <v>97.2</v>
      </c>
      <c r="H106" s="860"/>
      <c r="I106" s="860">
        <v>373.84615384615387</v>
      </c>
      <c r="J106" s="860"/>
      <c r="K106" s="861">
        <v>22356</v>
      </c>
      <c r="L106" s="862"/>
      <c r="M106" s="113"/>
      <c r="N106" s="113"/>
      <c r="O106" s="9" t="s">
        <v>58</v>
      </c>
      <c r="P106" s="45" t="s">
        <v>58</v>
      </c>
      <c r="Q106" s="45" t="s">
        <v>58</v>
      </c>
      <c r="R106" s="46" t="s">
        <v>58</v>
      </c>
      <c r="S106" s="51" t="s">
        <v>58</v>
      </c>
    </row>
    <row r="107" spans="2:19">
      <c r="B107" s="104" t="str">
        <f t="shared" si="6"/>
        <v>Matelac RAL 9010</v>
      </c>
      <c r="C107" s="857">
        <f t="shared" si="7"/>
        <v>2502.9</v>
      </c>
      <c r="D107" s="857">
        <f t="shared" si="5"/>
        <v>0</v>
      </c>
      <c r="E107" s="858">
        <v>2502.9</v>
      </c>
      <c r="F107" s="859"/>
      <c r="G107" s="860">
        <v>97.2</v>
      </c>
      <c r="H107" s="860"/>
      <c r="I107" s="860">
        <v>373.84615384615387</v>
      </c>
      <c r="J107" s="860"/>
      <c r="K107" s="861">
        <v>22356</v>
      </c>
      <c r="L107" s="862"/>
      <c r="M107" s="113"/>
      <c r="N107" s="113"/>
      <c r="O107" s="9" t="s">
        <v>57</v>
      </c>
      <c r="P107" s="45" t="s">
        <v>57</v>
      </c>
      <c r="Q107" s="45" t="s">
        <v>57</v>
      </c>
      <c r="R107" s="46" t="s">
        <v>57</v>
      </c>
      <c r="S107" s="51" t="s">
        <v>57</v>
      </c>
    </row>
    <row r="108" spans="2:19">
      <c r="B108" s="104" t="str">
        <f t="shared" si="6"/>
        <v>Matelac REF 1435</v>
      </c>
      <c r="C108" s="857">
        <f t="shared" si="7"/>
        <v>2502.9</v>
      </c>
      <c r="D108" s="857">
        <f t="shared" si="5"/>
        <v>0</v>
      </c>
      <c r="E108" s="858">
        <v>2502.9</v>
      </c>
      <c r="F108" s="859"/>
      <c r="G108" s="854">
        <v>97.2</v>
      </c>
      <c r="H108" s="854"/>
      <c r="I108" s="854">
        <v>373.84615384615387</v>
      </c>
      <c r="J108" s="854"/>
      <c r="K108" s="855">
        <v>22356</v>
      </c>
      <c r="L108" s="856"/>
      <c r="M108" s="115"/>
      <c r="N108" s="115"/>
      <c r="O108" s="10" t="s">
        <v>55</v>
      </c>
      <c r="P108" s="45" t="s">
        <v>55</v>
      </c>
      <c r="Q108" s="45" t="s">
        <v>55</v>
      </c>
      <c r="R108" s="46" t="s">
        <v>55</v>
      </c>
      <c r="S108" s="51" t="s">
        <v>55</v>
      </c>
    </row>
    <row r="109" spans="2:19">
      <c r="B109" s="104" t="str">
        <f t="shared" si="6"/>
        <v>Matelac REF 1586</v>
      </c>
      <c r="C109" s="857">
        <f t="shared" si="7"/>
        <v>2502.9</v>
      </c>
      <c r="D109" s="857">
        <f t="shared" si="5"/>
        <v>0</v>
      </c>
      <c r="E109" s="858">
        <v>2502.9</v>
      </c>
      <c r="F109" s="859"/>
      <c r="G109" s="860">
        <v>97.2</v>
      </c>
      <c r="H109" s="860"/>
      <c r="I109" s="860">
        <v>373.84615384615387</v>
      </c>
      <c r="J109" s="860"/>
      <c r="K109" s="861">
        <v>22356</v>
      </c>
      <c r="L109" s="862"/>
      <c r="M109" s="15"/>
      <c r="N109" s="15"/>
      <c r="O109" s="12" t="s">
        <v>62</v>
      </c>
      <c r="P109" s="45" t="s">
        <v>62</v>
      </c>
      <c r="Q109" s="45" t="s">
        <v>62</v>
      </c>
      <c r="R109" s="46" t="s">
        <v>62</v>
      </c>
      <c r="S109" s="51" t="s">
        <v>62</v>
      </c>
    </row>
    <row r="110" spans="2:19">
      <c r="B110" s="104" t="str">
        <f t="shared" si="6"/>
        <v>Matelac zrcadlo bronz</v>
      </c>
      <c r="C110" s="857">
        <f t="shared" si="7"/>
        <v>2708.9</v>
      </c>
      <c r="D110" s="857">
        <f t="shared" si="5"/>
        <v>0</v>
      </c>
      <c r="E110" s="858">
        <v>2708.9</v>
      </c>
      <c r="F110" s="859"/>
      <c r="G110" s="854">
        <v>105.2</v>
      </c>
      <c r="H110" s="854"/>
      <c r="I110" s="854">
        <v>404.61538461538464</v>
      </c>
      <c r="J110" s="854"/>
      <c r="K110" s="855">
        <v>24195.999999999996</v>
      </c>
      <c r="L110" s="856"/>
      <c r="M110" s="15"/>
      <c r="N110" s="15"/>
      <c r="O110" s="12" t="s">
        <v>69</v>
      </c>
      <c r="P110" s="45" t="s">
        <v>509</v>
      </c>
      <c r="Q110" s="45" t="s">
        <v>506</v>
      </c>
      <c r="R110" s="46" t="s">
        <v>587</v>
      </c>
      <c r="S110" s="51" t="s">
        <v>1631</v>
      </c>
    </row>
    <row r="111" spans="2:19">
      <c r="B111" s="104" t="str">
        <f t="shared" si="6"/>
        <v>Matelac zrcadlo grafit</v>
      </c>
      <c r="C111" s="857">
        <f t="shared" si="7"/>
        <v>3038.5</v>
      </c>
      <c r="D111" s="857">
        <f t="shared" si="5"/>
        <v>0</v>
      </c>
      <c r="E111" s="858">
        <v>3038.5</v>
      </c>
      <c r="F111" s="859"/>
      <c r="G111" s="860">
        <v>118</v>
      </c>
      <c r="H111" s="860"/>
      <c r="I111" s="860">
        <v>453.84615384615387</v>
      </c>
      <c r="J111" s="860"/>
      <c r="K111" s="861">
        <v>27139.999999999996</v>
      </c>
      <c r="L111" s="862"/>
      <c r="M111" s="15"/>
      <c r="N111" s="15"/>
      <c r="O111" s="12" t="s">
        <v>71</v>
      </c>
      <c r="P111" s="45" t="s">
        <v>511</v>
      </c>
      <c r="Q111" s="45" t="s">
        <v>508</v>
      </c>
      <c r="R111" s="46" t="s">
        <v>589</v>
      </c>
      <c r="S111" s="51" t="s">
        <v>1632</v>
      </c>
    </row>
    <row r="112" spans="2:19">
      <c r="B112" s="104" t="str">
        <f t="shared" si="6"/>
        <v>Matelac zrcadlo stříbr.</v>
      </c>
      <c r="C112" s="857">
        <f t="shared" si="7"/>
        <v>2708.9</v>
      </c>
      <c r="D112" s="857">
        <f t="shared" si="5"/>
        <v>0</v>
      </c>
      <c r="E112" s="858">
        <v>2708.9</v>
      </c>
      <c r="F112" s="859"/>
      <c r="G112" s="854">
        <v>105.2</v>
      </c>
      <c r="H112" s="854"/>
      <c r="I112" s="854">
        <v>404.61538461538464</v>
      </c>
      <c r="J112" s="854"/>
      <c r="K112" s="855">
        <v>24195.999999999996</v>
      </c>
      <c r="L112" s="856"/>
      <c r="M112" s="15"/>
      <c r="N112" s="15"/>
      <c r="O112" s="12" t="s">
        <v>70</v>
      </c>
      <c r="P112" s="47" t="s">
        <v>1542</v>
      </c>
      <c r="Q112" s="47" t="s">
        <v>1543</v>
      </c>
      <c r="R112" s="48" t="s">
        <v>1544</v>
      </c>
      <c r="S112" s="51" t="s">
        <v>1633</v>
      </c>
    </row>
    <row r="113" spans="2:19">
      <c r="B113" s="86"/>
      <c r="C113" s="87"/>
      <c r="D113" s="88"/>
      <c r="E113" s="89"/>
      <c r="F113" s="89"/>
      <c r="G113" s="90"/>
      <c r="H113" s="90"/>
      <c r="I113" s="90"/>
      <c r="J113" s="90"/>
      <c r="K113" s="91"/>
      <c r="L113" s="92"/>
      <c r="M113" s="116"/>
      <c r="N113" s="116"/>
      <c r="O113" s="86"/>
      <c r="P113" s="45" t="s">
        <v>62</v>
      </c>
      <c r="Q113" s="45" t="s">
        <v>62</v>
      </c>
      <c r="R113" s="46" t="s">
        <v>62</v>
      </c>
      <c r="S113" s="51"/>
    </row>
    <row r="114" spans="2:19">
      <c r="B114" s="86"/>
      <c r="C114" s="87"/>
      <c r="D114" s="88"/>
      <c r="E114" s="89"/>
      <c r="F114" s="89"/>
      <c r="G114" s="90"/>
      <c r="H114" s="90"/>
      <c r="I114" s="90"/>
      <c r="J114" s="90"/>
      <c r="K114" s="91"/>
      <c r="L114" s="92"/>
      <c r="M114" s="116"/>
      <c r="N114" s="116"/>
      <c r="O114" s="86"/>
      <c r="P114" s="45" t="s">
        <v>509</v>
      </c>
      <c r="Q114" s="45" t="s">
        <v>506</v>
      </c>
      <c r="R114" s="46" t="s">
        <v>587</v>
      </c>
      <c r="S114" s="51"/>
    </row>
    <row r="115" spans="2:19">
      <c r="B115" s="86"/>
      <c r="C115" s="87"/>
      <c r="D115" s="88"/>
      <c r="E115" s="89"/>
      <c r="F115" s="89"/>
      <c r="G115" s="90"/>
      <c r="H115" s="90"/>
      <c r="I115" s="90"/>
      <c r="J115" s="90"/>
      <c r="K115" s="91"/>
      <c r="L115" s="92"/>
      <c r="M115" s="116"/>
      <c r="N115" s="116"/>
      <c r="O115" s="86"/>
      <c r="P115" s="45" t="s">
        <v>511</v>
      </c>
      <c r="Q115" s="45" t="s">
        <v>508</v>
      </c>
      <c r="R115" s="46" t="s">
        <v>589</v>
      </c>
      <c r="S115" s="51"/>
    </row>
    <row r="116" spans="2:19">
      <c r="B116" s="86"/>
      <c r="C116" s="87"/>
      <c r="D116" s="88"/>
      <c r="E116" s="89"/>
      <c r="F116" s="89"/>
      <c r="G116" s="90"/>
      <c r="H116" s="90"/>
      <c r="I116" s="90"/>
      <c r="J116" s="90"/>
      <c r="K116" s="91"/>
      <c r="L116" s="92"/>
      <c r="M116" s="116"/>
      <c r="N116" s="116"/>
      <c r="O116" s="86"/>
      <c r="P116" s="47" t="s">
        <v>510</v>
      </c>
      <c r="Q116" s="47" t="s">
        <v>507</v>
      </c>
      <c r="R116" s="48" t="s">
        <v>588</v>
      </c>
      <c r="S116" s="51"/>
    </row>
    <row r="117" spans="2:19">
      <c r="B117" s="86"/>
      <c r="C117" s="87"/>
      <c r="D117" s="88"/>
      <c r="E117" s="89"/>
      <c r="F117" s="89"/>
      <c r="G117" s="90"/>
      <c r="H117" s="90"/>
      <c r="I117" s="90"/>
      <c r="J117" s="90"/>
      <c r="K117" s="91"/>
      <c r="L117" s="92"/>
      <c r="M117" s="116"/>
      <c r="N117" s="116"/>
      <c r="O117" s="86"/>
      <c r="P117" s="93"/>
      <c r="Q117" s="93"/>
      <c r="R117" s="94"/>
      <c r="S117" s="51"/>
    </row>
    <row r="118" spans="2:19">
      <c r="B118" s="10"/>
      <c r="C118" s="853"/>
      <c r="D118" s="853"/>
      <c r="E118" s="853"/>
      <c r="F118" s="853"/>
      <c r="G118" s="854"/>
      <c r="H118" s="854"/>
      <c r="I118" s="854"/>
      <c r="J118" s="854"/>
      <c r="K118" s="855"/>
      <c r="L118" s="856"/>
      <c r="M118" s="115"/>
      <c r="N118" s="115"/>
      <c r="O118" s="10"/>
      <c r="P118" s="47"/>
      <c r="Q118" s="47"/>
      <c r="R118" s="48"/>
      <c r="S118" s="51"/>
    </row>
    <row r="119" spans="2:19">
      <c r="B119" s="12"/>
      <c r="C119" s="13"/>
      <c r="D119" s="13"/>
      <c r="E119" s="13"/>
      <c r="F119" s="13"/>
      <c r="G119" s="14"/>
      <c r="H119" s="14"/>
      <c r="I119" s="14"/>
      <c r="J119" s="14"/>
      <c r="K119" s="15"/>
      <c r="L119" s="15"/>
      <c r="M119" s="15"/>
      <c r="N119" s="15"/>
      <c r="O119" s="12"/>
      <c r="S119" s="51"/>
    </row>
    <row r="120" spans="2:19">
      <c r="B120" s="12" t="s">
        <v>83</v>
      </c>
      <c r="C120" s="13"/>
      <c r="D120" s="13"/>
      <c r="E120" s="13"/>
      <c r="F120" s="13"/>
      <c r="G120" s="14"/>
      <c r="H120" s="14"/>
      <c r="I120" s="14"/>
      <c r="J120" s="14"/>
      <c r="K120" s="15"/>
      <c r="L120" s="15"/>
      <c r="M120" s="15"/>
      <c r="N120" s="15"/>
      <c r="O120" s="12"/>
      <c r="S120" s="51"/>
    </row>
    <row r="121" spans="2:19">
      <c r="B121" s="1" t="s">
        <v>76</v>
      </c>
      <c r="C121" s="853">
        <f t="shared" ref="C121:D124" si="8">IF($D$1=1,E121,IF($D$1=2,G121,IF($D$1=3,I121,IF($D$1=4,K121,0))))</f>
        <v>30</v>
      </c>
      <c r="D121" s="853">
        <f t="shared" si="8"/>
        <v>0</v>
      </c>
      <c r="E121" s="783">
        <v>30</v>
      </c>
      <c r="F121" s="783"/>
      <c r="G121" s="854">
        <f>E121/$H$3</f>
        <v>1.2</v>
      </c>
      <c r="H121" s="854"/>
      <c r="I121" s="854">
        <f>E121/$J$3</f>
        <v>4.615384615384615</v>
      </c>
      <c r="J121" s="854"/>
      <c r="K121" s="855">
        <f>E121*$L$3</f>
        <v>276</v>
      </c>
      <c r="L121" s="856"/>
      <c r="M121" s="15"/>
      <c r="N121" s="15"/>
      <c r="O121" s="12"/>
      <c r="S121" s="51"/>
    </row>
    <row r="122" spans="2:19">
      <c r="B122" s="1" t="s">
        <v>77</v>
      </c>
      <c r="C122" s="853">
        <f t="shared" si="8"/>
        <v>30</v>
      </c>
      <c r="D122" s="853">
        <f t="shared" si="8"/>
        <v>0</v>
      </c>
      <c r="E122" s="783">
        <v>30</v>
      </c>
      <c r="F122" s="783"/>
      <c r="G122" s="854">
        <f>E122/$H$3</f>
        <v>1.2</v>
      </c>
      <c r="H122" s="854"/>
      <c r="I122" s="854">
        <f>E122/$J$3</f>
        <v>4.615384615384615</v>
      </c>
      <c r="J122" s="854"/>
      <c r="K122" s="855">
        <f>E122*$L$3</f>
        <v>276</v>
      </c>
      <c r="L122" s="856"/>
      <c r="M122" s="15"/>
      <c r="N122" s="15"/>
      <c r="O122" s="12"/>
      <c r="S122" s="51"/>
    </row>
    <row r="123" spans="2:19">
      <c r="B123" s="1" t="s">
        <v>78</v>
      </c>
      <c r="C123" s="853">
        <f t="shared" si="8"/>
        <v>30</v>
      </c>
      <c r="D123" s="853">
        <f t="shared" si="8"/>
        <v>0</v>
      </c>
      <c r="E123" s="783">
        <v>30</v>
      </c>
      <c r="F123" s="783"/>
      <c r="G123" s="854">
        <f>E123/$H$3</f>
        <v>1.2</v>
      </c>
      <c r="H123" s="854"/>
      <c r="I123" s="854">
        <f>E123/$J$3</f>
        <v>4.615384615384615</v>
      </c>
      <c r="J123" s="854"/>
      <c r="K123" s="855">
        <f>E123*$L$3</f>
        <v>276</v>
      </c>
      <c r="L123" s="856"/>
      <c r="M123" s="15"/>
      <c r="N123" s="15"/>
      <c r="O123" s="12"/>
      <c r="S123" s="51"/>
    </row>
    <row r="124" spans="2:19">
      <c r="B124" s="1" t="s">
        <v>84</v>
      </c>
      <c r="C124" s="853">
        <f t="shared" si="8"/>
        <v>30</v>
      </c>
      <c r="D124" s="853">
        <f t="shared" si="8"/>
        <v>0</v>
      </c>
      <c r="E124" s="783">
        <v>30</v>
      </c>
      <c r="F124" s="783"/>
      <c r="G124" s="854">
        <f>E124/$H$3</f>
        <v>1.2</v>
      </c>
      <c r="H124" s="854"/>
      <c r="I124" s="854">
        <f>E124/$J$3</f>
        <v>4.615384615384615</v>
      </c>
      <c r="J124" s="854"/>
      <c r="K124" s="855">
        <f>E124*$L$3</f>
        <v>276</v>
      </c>
      <c r="L124" s="856"/>
      <c r="M124" s="15"/>
      <c r="N124" s="15"/>
      <c r="O124" s="12"/>
      <c r="S124" s="51"/>
    </row>
    <row r="125" spans="2:19">
      <c r="B125" s="1"/>
      <c r="C125" s="13"/>
      <c r="D125" s="13"/>
      <c r="E125" s="13"/>
      <c r="F125" s="13"/>
      <c r="G125" s="14"/>
      <c r="H125" s="14"/>
      <c r="I125" s="14"/>
      <c r="J125" s="14"/>
      <c r="K125" s="15"/>
      <c r="L125" s="15"/>
      <c r="M125" s="15"/>
      <c r="N125" s="15"/>
      <c r="O125" s="12"/>
      <c r="S125" s="51"/>
    </row>
    <row r="126" spans="2:19">
      <c r="B126" s="1"/>
      <c r="C126" s="13"/>
      <c r="D126" s="13"/>
      <c r="E126" s="13"/>
      <c r="F126" s="13"/>
      <c r="G126" s="14"/>
      <c r="H126" s="14"/>
      <c r="I126" s="14"/>
      <c r="J126" s="14"/>
      <c r="K126" s="15"/>
      <c r="L126" s="15"/>
      <c r="M126" s="15"/>
      <c r="N126" s="15"/>
      <c r="O126" s="12"/>
      <c r="S126" s="51"/>
    </row>
    <row r="127" spans="2:19">
      <c r="B127" s="1"/>
      <c r="C127" s="13"/>
      <c r="D127" s="13"/>
      <c r="E127" s="13"/>
      <c r="F127" s="13"/>
      <c r="G127" s="14"/>
      <c r="H127" s="14"/>
      <c r="I127" s="14"/>
      <c r="J127" s="14"/>
      <c r="K127" s="15"/>
      <c r="L127" s="15"/>
      <c r="M127" s="15"/>
      <c r="N127" s="15"/>
      <c r="S127" s="51"/>
    </row>
    <row r="128" spans="2:19">
      <c r="S128" s="51"/>
    </row>
    <row r="129" spans="2:19">
      <c r="B129" s="104" t="str">
        <f t="shared" ref="B129:B192" si="9">IF($D$1=1,O:O,IF($D$1=2,P:P,IF($D$1=3,Q:Q,IF($D$1=4,R:R,IF($D$1=5,S:S)))))</f>
        <v>Rámeček</v>
      </c>
      <c r="C129">
        <v>1</v>
      </c>
      <c r="O129" s="67" t="s">
        <v>1634</v>
      </c>
      <c r="P129" s="33" t="s">
        <v>1635</v>
      </c>
      <c r="Q129" s="33" t="s">
        <v>441</v>
      </c>
      <c r="R129" s="33" t="s">
        <v>606</v>
      </c>
      <c r="S129" s="51" t="s">
        <v>1636</v>
      </c>
    </row>
    <row r="130" spans="2:19">
      <c r="B130" s="104" t="str">
        <f t="shared" si="9"/>
        <v xml:space="preserve">Standardní vrtání otvoru pro misku závěsu je 3 mm od hrany. </v>
      </c>
      <c r="C130">
        <v>2</v>
      </c>
      <c r="O130" s="67" t="s">
        <v>774</v>
      </c>
      <c r="P130" s="33" t="s">
        <v>816</v>
      </c>
      <c r="Q130" s="33" t="s">
        <v>1548</v>
      </c>
      <c r="R130" s="33" t="s">
        <v>829</v>
      </c>
      <c r="S130" s="51" t="s">
        <v>1637</v>
      </c>
    </row>
    <row r="131" spans="2:19">
      <c r="B131" s="104" t="str">
        <f t="shared" si="9"/>
        <v>Uvedené ceny jsou bez DPH a nezahrnují cenu požadovaného kování!</v>
      </c>
      <c r="C131">
        <v>3</v>
      </c>
      <c r="O131" s="67" t="s">
        <v>711</v>
      </c>
      <c r="P131" s="33" t="s">
        <v>817</v>
      </c>
      <c r="Q131" s="33" t="s">
        <v>1549</v>
      </c>
      <c r="R131" s="33" t="s">
        <v>830</v>
      </c>
      <c r="S131" s="51" t="s">
        <v>1638</v>
      </c>
    </row>
    <row r="132" spans="2:19">
      <c r="B132" s="104" t="str">
        <f t="shared" si="9"/>
        <v>Typ profilu</v>
      </c>
      <c r="C132">
        <v>4</v>
      </c>
      <c r="O132" s="67" t="s">
        <v>376</v>
      </c>
      <c r="P132" s="33" t="s">
        <v>376</v>
      </c>
      <c r="Q132" s="33" t="s">
        <v>594</v>
      </c>
      <c r="R132" s="33" t="s">
        <v>607</v>
      </c>
      <c r="S132" s="51" t="s">
        <v>1639</v>
      </c>
    </row>
    <row r="133" spans="2:19">
      <c r="B133" s="104" t="str">
        <f t="shared" si="9"/>
        <v>Typ skla</v>
      </c>
      <c r="C133">
        <v>5</v>
      </c>
      <c r="O133" s="67" t="s">
        <v>5</v>
      </c>
      <c r="P133" s="33" t="s">
        <v>5</v>
      </c>
      <c r="Q133" s="33" t="s">
        <v>13</v>
      </c>
      <c r="R133" s="33" t="s">
        <v>516</v>
      </c>
      <c r="S133" s="51" t="s">
        <v>1640</v>
      </c>
    </row>
    <row r="134" spans="2:19">
      <c r="B134" s="104" t="str">
        <f t="shared" si="9"/>
        <v>Počet kusů</v>
      </c>
      <c r="C134">
        <v>6</v>
      </c>
      <c r="O134" s="67" t="s">
        <v>4</v>
      </c>
      <c r="P134" s="33" t="s">
        <v>382</v>
      </c>
      <c r="Q134" s="33" t="s">
        <v>14</v>
      </c>
      <c r="R134" s="33" t="s">
        <v>517</v>
      </c>
      <c r="S134" s="51" t="s">
        <v>1641</v>
      </c>
    </row>
    <row r="135" spans="2:19">
      <c r="B135" s="104" t="str">
        <f t="shared" si="9"/>
        <v xml:space="preserve">Šířka </v>
      </c>
      <c r="C135">
        <v>7</v>
      </c>
      <c r="O135" s="67" t="s">
        <v>3</v>
      </c>
      <c r="P135" s="33" t="s">
        <v>383</v>
      </c>
      <c r="Q135" s="33" t="s">
        <v>10</v>
      </c>
      <c r="R135" s="33" t="s">
        <v>518</v>
      </c>
      <c r="S135" s="51" t="s">
        <v>1642</v>
      </c>
    </row>
    <row r="136" spans="2:19" ht="15" customHeight="1">
      <c r="B136" s="104" t="str">
        <f t="shared" si="9"/>
        <v>Výška</v>
      </c>
      <c r="C136">
        <v>8</v>
      </c>
      <c r="O136" s="67" t="s">
        <v>15</v>
      </c>
      <c r="P136" s="33" t="s">
        <v>15</v>
      </c>
      <c r="Q136" s="33" t="s">
        <v>11</v>
      </c>
      <c r="R136" s="33" t="s">
        <v>519</v>
      </c>
      <c r="S136" s="51" t="s">
        <v>1643</v>
      </c>
    </row>
    <row r="137" spans="2:19">
      <c r="B137" s="104" t="str">
        <f t="shared" si="9"/>
        <v>Poznámky</v>
      </c>
      <c r="C137">
        <v>9</v>
      </c>
      <c r="O137" s="67" t="s">
        <v>592</v>
      </c>
      <c r="P137" s="33" t="s">
        <v>592</v>
      </c>
      <c r="Q137" s="33" t="s">
        <v>442</v>
      </c>
      <c r="R137" s="33" t="s">
        <v>593</v>
      </c>
      <c r="S137" s="51" t="s">
        <v>1644</v>
      </c>
    </row>
    <row r="138" spans="2:19">
      <c r="B138" s="104" t="str">
        <f t="shared" si="9"/>
        <v>Cena rámečků celkem</v>
      </c>
      <c r="C138">
        <v>10</v>
      </c>
      <c r="O138" s="67" t="s">
        <v>17</v>
      </c>
      <c r="P138" s="33" t="s">
        <v>384</v>
      </c>
      <c r="Q138" s="33" t="s">
        <v>443</v>
      </c>
      <c r="R138" s="33" t="s">
        <v>520</v>
      </c>
      <c r="S138" s="51" t="s">
        <v>1645</v>
      </c>
    </row>
    <row r="139" spans="2:19">
      <c r="B139" s="104" t="str">
        <f t="shared" si="9"/>
        <v>Cena kování celkem</v>
      </c>
      <c r="C139">
        <v>11</v>
      </c>
      <c r="O139" s="68" t="s">
        <v>18</v>
      </c>
      <c r="P139" s="33" t="s">
        <v>385</v>
      </c>
      <c r="Q139" s="33" t="s">
        <v>444</v>
      </c>
      <c r="R139" s="33" t="s">
        <v>521</v>
      </c>
      <c r="S139" s="51" t="s">
        <v>1646</v>
      </c>
    </row>
    <row r="140" spans="2:19">
      <c r="B140" s="104" t="str">
        <f t="shared" si="9"/>
        <v>Cena za kompletní objednávku</v>
      </c>
      <c r="C140">
        <v>12</v>
      </c>
      <c r="O140" s="68" t="s">
        <v>72</v>
      </c>
      <c r="P140" s="33" t="s">
        <v>386</v>
      </c>
      <c r="Q140" s="33" t="s">
        <v>445</v>
      </c>
      <c r="R140" s="33" t="s">
        <v>522</v>
      </c>
      <c r="S140" s="51" t="s">
        <v>1647</v>
      </c>
    </row>
    <row r="141" spans="2:19">
      <c r="B141" s="104" t="str">
        <f t="shared" si="9"/>
        <v>Závěsy</v>
      </c>
      <c r="C141">
        <v>13</v>
      </c>
      <c r="O141" s="67" t="s">
        <v>693</v>
      </c>
      <c r="P141" s="33" t="s">
        <v>694</v>
      </c>
      <c r="Q141" s="33" t="s">
        <v>695</v>
      </c>
      <c r="R141" s="33" t="s">
        <v>696</v>
      </c>
      <c r="S141" s="51" t="s">
        <v>1648</v>
      </c>
    </row>
    <row r="142" spans="2:19">
      <c r="B142" s="104" t="str">
        <f t="shared" si="9"/>
        <v>Aventos ostatní</v>
      </c>
      <c r="C142">
        <v>14</v>
      </c>
      <c r="O142" s="67" t="s">
        <v>697</v>
      </c>
      <c r="P142" s="33" t="s">
        <v>698</v>
      </c>
      <c r="Q142" s="33" t="s">
        <v>699</v>
      </c>
      <c r="R142" s="33" t="s">
        <v>700</v>
      </c>
      <c r="S142" s="51" t="s">
        <v>1649</v>
      </c>
    </row>
    <row r="143" spans="2:19">
      <c r="B143" s="104" t="str">
        <f t="shared" si="9"/>
        <v>STRONG s tlumením</v>
      </c>
      <c r="C143">
        <v>15</v>
      </c>
      <c r="O143" s="67" t="s">
        <v>1109</v>
      </c>
      <c r="P143" s="33" t="s">
        <v>1450</v>
      </c>
      <c r="Q143" s="33" t="s">
        <v>1451</v>
      </c>
      <c r="R143" s="33" t="s">
        <v>1452</v>
      </c>
      <c r="S143" s="51" t="s">
        <v>1650</v>
      </c>
    </row>
    <row r="144" spans="2:19">
      <c r="B144" s="104" t="str">
        <f t="shared" si="9"/>
        <v>Závěsy se zvedacím pístem</v>
      </c>
      <c r="C144">
        <v>16</v>
      </c>
      <c r="O144" s="67" t="s">
        <v>701</v>
      </c>
      <c r="P144" s="33" t="s">
        <v>702</v>
      </c>
      <c r="Q144" s="33" t="s">
        <v>703</v>
      </c>
      <c r="R144" s="33" t="s">
        <v>704</v>
      </c>
      <c r="S144" s="51" t="s">
        <v>1651</v>
      </c>
    </row>
    <row r="145" spans="2:19">
      <c r="B145" s="104" t="str">
        <f t="shared" si="9"/>
        <v>Horní dvířko</v>
      </c>
      <c r="C145">
        <v>17</v>
      </c>
      <c r="O145" s="67" t="s">
        <v>75</v>
      </c>
      <c r="P145" s="33" t="s">
        <v>387</v>
      </c>
      <c r="Q145" s="33" t="s">
        <v>446</v>
      </c>
      <c r="R145" s="33" t="s">
        <v>705</v>
      </c>
      <c r="S145" s="51" t="s">
        <v>1652</v>
      </c>
    </row>
    <row r="146" spans="2:19">
      <c r="B146" s="104" t="str">
        <f t="shared" si="9"/>
        <v>Spodní dvířko</v>
      </c>
      <c r="C146">
        <v>18</v>
      </c>
      <c r="O146" s="67" t="s">
        <v>74</v>
      </c>
      <c r="P146" s="33" t="s">
        <v>388</v>
      </c>
      <c r="Q146" s="33" t="s">
        <v>447</v>
      </c>
      <c r="R146" s="33" t="s">
        <v>523</v>
      </c>
      <c r="S146" s="51" t="s">
        <v>1653</v>
      </c>
    </row>
    <row r="147" spans="2:19">
      <c r="B147" s="104" t="str">
        <f t="shared" si="9"/>
        <v>Naložený clip</v>
      </c>
      <c r="C147">
        <v>19</v>
      </c>
      <c r="O147" s="69" t="s">
        <v>94</v>
      </c>
      <c r="P147" s="33" t="s">
        <v>94</v>
      </c>
      <c r="Q147" s="33" t="s">
        <v>448</v>
      </c>
      <c r="R147" s="33" t="s">
        <v>524</v>
      </c>
      <c r="S147" s="51" t="s">
        <v>1654</v>
      </c>
    </row>
    <row r="148" spans="2:19">
      <c r="B148" s="104" t="str">
        <f t="shared" si="9"/>
        <v>Polonaložený clip</v>
      </c>
      <c r="C148">
        <v>20</v>
      </c>
      <c r="O148" s="69" t="s">
        <v>95</v>
      </c>
      <c r="P148" s="33" t="s">
        <v>95</v>
      </c>
      <c r="Q148" s="33" t="s">
        <v>449</v>
      </c>
      <c r="R148" s="33" t="s">
        <v>525</v>
      </c>
      <c r="S148" s="51" t="s">
        <v>1655</v>
      </c>
    </row>
    <row r="149" spans="2:19">
      <c r="B149" s="104" t="str">
        <f t="shared" si="9"/>
        <v>Vložený clip</v>
      </c>
      <c r="C149">
        <v>21</v>
      </c>
      <c r="O149" s="69" t="s">
        <v>96</v>
      </c>
      <c r="P149" s="33" t="s">
        <v>96</v>
      </c>
      <c r="Q149" s="33" t="s">
        <v>450</v>
      </c>
      <c r="R149" s="33" t="s">
        <v>526</v>
      </c>
      <c r="S149" s="51" t="s">
        <v>1656</v>
      </c>
    </row>
    <row r="150" spans="2:19">
      <c r="B150" s="104" t="str">
        <f t="shared" si="9"/>
        <v>Úhel 45°</v>
      </c>
      <c r="C150">
        <v>22</v>
      </c>
      <c r="O150" s="69" t="s">
        <v>97</v>
      </c>
      <c r="P150" s="33" t="s">
        <v>389</v>
      </c>
      <c r="Q150" s="33" t="s">
        <v>451</v>
      </c>
      <c r="R150" s="33" t="s">
        <v>527</v>
      </c>
      <c r="S150" s="51" t="s">
        <v>1657</v>
      </c>
    </row>
    <row r="151" spans="2:19">
      <c r="B151" s="104" t="str">
        <f t="shared" si="9"/>
        <v>Naložený</v>
      </c>
      <c r="C151">
        <v>23</v>
      </c>
      <c r="O151" s="16" t="s">
        <v>98</v>
      </c>
      <c r="P151" s="33" t="s">
        <v>390</v>
      </c>
      <c r="Q151" s="33" t="s">
        <v>452</v>
      </c>
      <c r="R151" s="33" t="s">
        <v>528</v>
      </c>
      <c r="S151" s="51" t="s">
        <v>1658</v>
      </c>
    </row>
    <row r="152" spans="2:19">
      <c r="B152" s="104" t="str">
        <f t="shared" si="9"/>
        <v>Polonaložený</v>
      </c>
      <c r="C152">
        <v>24</v>
      </c>
      <c r="O152" s="16" t="s">
        <v>99</v>
      </c>
      <c r="P152" s="33" t="s">
        <v>391</v>
      </c>
      <c r="Q152" s="33" t="s">
        <v>453</v>
      </c>
      <c r="R152" s="33" t="s">
        <v>529</v>
      </c>
      <c r="S152" s="51" t="s">
        <v>1659</v>
      </c>
    </row>
    <row r="153" spans="2:19">
      <c r="B153" s="104" t="str">
        <f t="shared" si="9"/>
        <v>Vložený</v>
      </c>
      <c r="C153">
        <v>25</v>
      </c>
      <c r="O153" s="16" t="s">
        <v>100</v>
      </c>
      <c r="P153" s="33" t="s">
        <v>392</v>
      </c>
      <c r="Q153" s="33" t="s">
        <v>454</v>
      </c>
      <c r="R153" s="33" t="s">
        <v>530</v>
      </c>
      <c r="S153" s="51" t="s">
        <v>1660</v>
      </c>
    </row>
    <row r="154" spans="2:19">
      <c r="B154" s="104" t="str">
        <f t="shared" si="9"/>
        <v>Úhel 45°</v>
      </c>
      <c r="C154">
        <v>26</v>
      </c>
      <c r="O154" s="16" t="s">
        <v>97</v>
      </c>
      <c r="P154" s="33" t="s">
        <v>389</v>
      </c>
      <c r="Q154" s="33" t="s">
        <v>451</v>
      </c>
      <c r="R154" s="33" t="s">
        <v>97</v>
      </c>
      <c r="S154" s="51" t="s">
        <v>1657</v>
      </c>
    </row>
    <row r="155" spans="2:19">
      <c r="B155" s="104" t="str">
        <f t="shared" si="9"/>
        <v>Naložený s opačnou pružinou</v>
      </c>
      <c r="C155">
        <v>27</v>
      </c>
      <c r="O155" s="16" t="s">
        <v>101</v>
      </c>
      <c r="P155" s="33" t="s">
        <v>101</v>
      </c>
      <c r="Q155" s="33" t="s">
        <v>455</v>
      </c>
      <c r="R155" s="33" t="s">
        <v>531</v>
      </c>
      <c r="S155" s="51" t="s">
        <v>1661</v>
      </c>
    </row>
    <row r="156" spans="2:19">
      <c r="B156" s="104" t="str">
        <f t="shared" si="9"/>
        <v>Vložený s opačnou pružinou</v>
      </c>
      <c r="C156">
        <v>28</v>
      </c>
      <c r="O156" s="16" t="s">
        <v>102</v>
      </c>
      <c r="P156" s="33" t="s">
        <v>102</v>
      </c>
      <c r="Q156" s="33" t="s">
        <v>456</v>
      </c>
      <c r="R156" s="33" t="s">
        <v>532</v>
      </c>
      <c r="S156" s="51" t="s">
        <v>1662</v>
      </c>
    </row>
    <row r="157" spans="2:19">
      <c r="B157" s="104" t="str">
        <f t="shared" si="9"/>
        <v>Clip na vrut H2</v>
      </c>
      <c r="C157">
        <v>29</v>
      </c>
      <c r="O157" s="67" t="s">
        <v>185</v>
      </c>
      <c r="P157" s="33" t="s">
        <v>393</v>
      </c>
      <c r="Q157" s="33" t="s">
        <v>457</v>
      </c>
      <c r="R157" s="33" t="s">
        <v>533</v>
      </c>
      <c r="S157" s="51" t="s">
        <v>1663</v>
      </c>
    </row>
    <row r="158" spans="2:19">
      <c r="B158" s="104" t="str">
        <f t="shared" si="9"/>
        <v>Clip na vrut H4</v>
      </c>
      <c r="C158">
        <v>30</v>
      </c>
      <c r="O158" s="67" t="s">
        <v>186</v>
      </c>
      <c r="P158" s="33" t="s">
        <v>394</v>
      </c>
      <c r="Q158" s="33" t="s">
        <v>458</v>
      </c>
      <c r="R158" s="33" t="s">
        <v>534</v>
      </c>
      <c r="S158" s="51" t="s">
        <v>1664</v>
      </c>
    </row>
    <row r="159" spans="2:19">
      <c r="B159" s="104" t="str">
        <f t="shared" si="9"/>
        <v>Clip na eurošroub H2</v>
      </c>
      <c r="C159">
        <v>31</v>
      </c>
      <c r="O159" s="67" t="s">
        <v>187</v>
      </c>
      <c r="P159" s="33" t="s">
        <v>395</v>
      </c>
      <c r="Q159" s="33" t="s">
        <v>459</v>
      </c>
      <c r="R159" s="33" t="s">
        <v>535</v>
      </c>
      <c r="S159" s="51" t="s">
        <v>1665</v>
      </c>
    </row>
    <row r="160" spans="2:19">
      <c r="B160" s="104" t="str">
        <f t="shared" si="9"/>
        <v>Clip na eurošroub H4</v>
      </c>
      <c r="C160">
        <v>32</v>
      </c>
      <c r="O160" s="67" t="s">
        <v>188</v>
      </c>
      <c r="P160" s="33" t="s">
        <v>396</v>
      </c>
      <c r="Q160" s="33" t="s">
        <v>460</v>
      </c>
      <c r="R160" s="33" t="s">
        <v>536</v>
      </c>
      <c r="S160" s="51" t="s">
        <v>1666</v>
      </c>
    </row>
    <row r="161" spans="2:19">
      <c r="B161" s="104" t="str">
        <f t="shared" si="9"/>
        <v>Slide on na vrut H2</v>
      </c>
      <c r="C161">
        <v>33</v>
      </c>
      <c r="O161" s="67" t="s">
        <v>189</v>
      </c>
      <c r="P161" s="33" t="s">
        <v>397</v>
      </c>
      <c r="Q161" s="33" t="s">
        <v>461</v>
      </c>
      <c r="R161" s="33" t="s">
        <v>537</v>
      </c>
      <c r="S161" s="51" t="s">
        <v>1667</v>
      </c>
    </row>
    <row r="162" spans="2:19">
      <c r="B162" s="104" t="str">
        <f t="shared" si="9"/>
        <v>Slide on na vrut H4</v>
      </c>
      <c r="C162">
        <v>34</v>
      </c>
      <c r="O162" s="67" t="s">
        <v>190</v>
      </c>
      <c r="P162" s="33" t="s">
        <v>398</v>
      </c>
      <c r="Q162" s="33" t="s">
        <v>462</v>
      </c>
      <c r="R162" s="33" t="s">
        <v>538</v>
      </c>
      <c r="S162" s="51" t="s">
        <v>1668</v>
      </c>
    </row>
    <row r="163" spans="2:19">
      <c r="B163" s="104" t="str">
        <f t="shared" si="9"/>
        <v>Slide on na eurošroub H2</v>
      </c>
      <c r="C163">
        <v>35</v>
      </c>
      <c r="O163" s="67" t="s">
        <v>191</v>
      </c>
      <c r="P163" s="33" t="s">
        <v>399</v>
      </c>
      <c r="Q163" s="33" t="s">
        <v>463</v>
      </c>
      <c r="R163" s="33" t="s">
        <v>539</v>
      </c>
      <c r="S163" s="51" t="s">
        <v>1669</v>
      </c>
    </row>
    <row r="164" spans="2:19">
      <c r="B164" s="104" t="str">
        <f t="shared" si="9"/>
        <v>Slide on na eurošroub H4</v>
      </c>
      <c r="C164">
        <v>36</v>
      </c>
      <c r="O164" s="67" t="s">
        <v>192</v>
      </c>
      <c r="P164" s="33" t="s">
        <v>400</v>
      </c>
      <c r="Q164" s="33" t="s">
        <v>464</v>
      </c>
      <c r="R164" s="33" t="s">
        <v>540</v>
      </c>
      <c r="S164" s="51" t="s">
        <v>1670</v>
      </c>
    </row>
    <row r="165" spans="2:19">
      <c r="B165" s="104" t="str">
        <f t="shared" si="9"/>
        <v>Naložený pro Blumotion</v>
      </c>
      <c r="C165">
        <v>37</v>
      </c>
      <c r="O165" s="67" t="s">
        <v>176</v>
      </c>
      <c r="P165" s="33" t="s">
        <v>401</v>
      </c>
      <c r="Q165" s="33" t="s">
        <v>465</v>
      </c>
      <c r="R165" s="33" t="s">
        <v>541</v>
      </c>
      <c r="S165" s="51" t="s">
        <v>1671</v>
      </c>
    </row>
    <row r="166" spans="2:19">
      <c r="B166" s="104" t="str">
        <f t="shared" si="9"/>
        <v>Polonaložený s integr. Blumotionem</v>
      </c>
      <c r="C166">
        <v>38</v>
      </c>
      <c r="O166" s="67" t="s">
        <v>772</v>
      </c>
      <c r="P166" s="33" t="s">
        <v>818</v>
      </c>
      <c r="Q166" s="33" t="s">
        <v>831</v>
      </c>
      <c r="R166" s="33" t="s">
        <v>832</v>
      </c>
      <c r="S166" s="51" t="s">
        <v>1672</v>
      </c>
    </row>
    <row r="167" spans="2:19">
      <c r="B167" s="104" t="str">
        <f t="shared" si="9"/>
        <v>Vložený s integr. Blumotionem</v>
      </c>
      <c r="C167">
        <v>39</v>
      </c>
      <c r="O167" s="67" t="s">
        <v>773</v>
      </c>
      <c r="P167" s="33" t="s">
        <v>819</v>
      </c>
      <c r="Q167" s="33" t="s">
        <v>833</v>
      </c>
      <c r="R167" s="33" t="s">
        <v>834</v>
      </c>
      <c r="S167" s="51" t="s">
        <v>1673</v>
      </c>
    </row>
    <row r="168" spans="2:19">
      <c r="B168" s="104" t="str">
        <f t="shared" si="9"/>
        <v>45° clip naložený</v>
      </c>
      <c r="C168">
        <v>40</v>
      </c>
      <c r="O168" s="16" t="s">
        <v>178</v>
      </c>
      <c r="P168" s="33" t="s">
        <v>402</v>
      </c>
      <c r="Q168" s="33" t="s">
        <v>466</v>
      </c>
      <c r="R168" s="33" t="s">
        <v>542</v>
      </c>
      <c r="S168" s="51" t="s">
        <v>1674</v>
      </c>
    </row>
    <row r="169" spans="2:19">
      <c r="B169" s="104" t="str">
        <f t="shared" si="9"/>
        <v>45° clip polonaložený</v>
      </c>
      <c r="C169">
        <v>41</v>
      </c>
      <c r="O169" s="16" t="s">
        <v>177</v>
      </c>
      <c r="P169" s="33" t="s">
        <v>177</v>
      </c>
      <c r="Q169" s="33" t="s">
        <v>467</v>
      </c>
      <c r="R169" s="33" t="s">
        <v>543</v>
      </c>
      <c r="S169" s="51" t="s">
        <v>1675</v>
      </c>
    </row>
    <row r="170" spans="2:19">
      <c r="B170" s="104" t="str">
        <f t="shared" si="9"/>
        <v>Naložený bez pružiny</v>
      </c>
      <c r="C170">
        <v>42</v>
      </c>
      <c r="O170" s="16" t="s">
        <v>103</v>
      </c>
      <c r="P170" s="33" t="s">
        <v>103</v>
      </c>
      <c r="Q170" s="33" t="s">
        <v>468</v>
      </c>
      <c r="R170" s="33" t="s">
        <v>544</v>
      </c>
      <c r="S170" s="51" t="s">
        <v>1676</v>
      </c>
    </row>
    <row r="171" spans="2:19">
      <c r="B171" s="104" t="str">
        <f t="shared" si="9"/>
        <v>Naložený bez pružiny (TIP-ON)</v>
      </c>
      <c r="C171">
        <v>43</v>
      </c>
      <c r="O171" s="16" t="s">
        <v>179</v>
      </c>
      <c r="P171" s="33" t="s">
        <v>403</v>
      </c>
      <c r="Q171" s="33" t="s">
        <v>469</v>
      </c>
      <c r="R171" s="33" t="s">
        <v>545</v>
      </c>
      <c r="S171" s="51" t="s">
        <v>1677</v>
      </c>
    </row>
    <row r="172" spans="2:19">
      <c r="B172" s="104" t="str">
        <f t="shared" si="9"/>
        <v>Clip na eurošroub</v>
      </c>
      <c r="C172">
        <v>44</v>
      </c>
      <c r="O172" s="16" t="s">
        <v>181</v>
      </c>
      <c r="P172" s="33" t="s">
        <v>404</v>
      </c>
      <c r="Q172" s="33" t="s">
        <v>470</v>
      </c>
      <c r="R172" s="33" t="s">
        <v>546</v>
      </c>
      <c r="S172" s="51" t="s">
        <v>1678</v>
      </c>
    </row>
    <row r="173" spans="2:19">
      <c r="B173" s="104" t="str">
        <f t="shared" si="9"/>
        <v>Clip na vrut</v>
      </c>
      <c r="C173">
        <v>45</v>
      </c>
      <c r="O173" s="16" t="s">
        <v>180</v>
      </c>
      <c r="P173" s="33" t="s">
        <v>405</v>
      </c>
      <c r="Q173" s="33" t="s">
        <v>471</v>
      </c>
      <c r="R173" s="33" t="s">
        <v>547</v>
      </c>
      <c r="S173" s="51" t="s">
        <v>1679</v>
      </c>
    </row>
    <row r="174" spans="2:19">
      <c r="B174" s="104" t="str">
        <f t="shared" si="9"/>
        <v xml:space="preserve">Zvýšená o 6 mm </v>
      </c>
      <c r="C174">
        <v>46</v>
      </c>
      <c r="O174" s="16" t="s">
        <v>182</v>
      </c>
      <c r="P174" s="33" t="s">
        <v>406</v>
      </c>
      <c r="Q174" s="33" t="s">
        <v>472</v>
      </c>
      <c r="R174" s="33" t="s">
        <v>548</v>
      </c>
      <c r="S174" s="51" t="s">
        <v>1680</v>
      </c>
    </row>
    <row r="175" spans="2:19">
      <c r="B175" s="104" t="str">
        <f t="shared" si="9"/>
        <v>45° clip</v>
      </c>
      <c r="C175">
        <v>47</v>
      </c>
      <c r="O175" s="16" t="s">
        <v>0</v>
      </c>
      <c r="P175" s="33" t="s">
        <v>407</v>
      </c>
      <c r="Q175" s="33" t="s">
        <v>0</v>
      </c>
      <c r="R175" s="33" t="s">
        <v>0</v>
      </c>
      <c r="S175" s="51" t="s">
        <v>1681</v>
      </c>
    </row>
    <row r="176" spans="2:19">
      <c r="B176" s="104" t="str">
        <f t="shared" si="9"/>
        <v xml:space="preserve">Clip na eurošroub H0 </v>
      </c>
      <c r="C176">
        <v>48</v>
      </c>
      <c r="O176" s="16" t="s">
        <v>184</v>
      </c>
      <c r="P176" s="33" t="s">
        <v>408</v>
      </c>
      <c r="Q176" s="33" t="s">
        <v>473</v>
      </c>
      <c r="R176" s="33" t="s">
        <v>549</v>
      </c>
      <c r="S176" s="51" t="s">
        <v>1682</v>
      </c>
    </row>
    <row r="177" spans="2:19">
      <c r="B177" s="104" t="str">
        <f t="shared" si="9"/>
        <v>Clip na vrut H0</v>
      </c>
      <c r="C177">
        <v>49</v>
      </c>
      <c r="O177" s="16" t="s">
        <v>183</v>
      </c>
      <c r="P177" s="33" t="s">
        <v>409</v>
      </c>
      <c r="Q177" s="33" t="s">
        <v>474</v>
      </c>
      <c r="R177" s="33" t="s">
        <v>550</v>
      </c>
      <c r="S177" s="51" t="s">
        <v>1683</v>
      </c>
    </row>
    <row r="178" spans="2:19">
      <c r="B178" s="104" t="str">
        <f t="shared" si="9"/>
        <v>Výběr pozice rámečku</v>
      </c>
      <c r="C178">
        <v>50</v>
      </c>
      <c r="O178" s="16" t="s">
        <v>214</v>
      </c>
      <c r="P178" s="33" t="s">
        <v>410</v>
      </c>
      <c r="Q178" s="33" t="s">
        <v>475</v>
      </c>
      <c r="R178" s="33" t="s">
        <v>551</v>
      </c>
      <c r="S178" s="51" t="s">
        <v>1684</v>
      </c>
    </row>
    <row r="179" spans="2:19">
      <c r="B179" s="104" t="str">
        <f t="shared" si="9"/>
        <v>Výrobce závěsů</v>
      </c>
      <c r="C179">
        <v>51</v>
      </c>
      <c r="O179" s="16" t="s">
        <v>194</v>
      </c>
      <c r="P179" s="33" t="s">
        <v>411</v>
      </c>
      <c r="Q179" s="33" t="s">
        <v>476</v>
      </c>
      <c r="R179" s="33" t="s">
        <v>552</v>
      </c>
      <c r="S179" s="51" t="s">
        <v>1685</v>
      </c>
    </row>
    <row r="180" spans="2:19">
      <c r="B180" s="104" t="str">
        <f t="shared" si="9"/>
        <v>Typ závěsů</v>
      </c>
      <c r="C180">
        <v>52</v>
      </c>
      <c r="O180" s="16" t="s">
        <v>195</v>
      </c>
      <c r="P180" s="33" t="s">
        <v>412</v>
      </c>
      <c r="Q180" s="33" t="s">
        <v>477</v>
      </c>
      <c r="R180" s="33" t="s">
        <v>553</v>
      </c>
      <c r="S180" s="51" t="s">
        <v>1686</v>
      </c>
    </row>
    <row r="181" spans="2:19">
      <c r="B181" s="104" t="str">
        <f t="shared" si="9"/>
        <v>Typ Aventosu</v>
      </c>
      <c r="C181">
        <v>53</v>
      </c>
      <c r="O181" s="67" t="s">
        <v>196</v>
      </c>
      <c r="P181" s="33" t="s">
        <v>196</v>
      </c>
      <c r="Q181" s="33" t="s">
        <v>478</v>
      </c>
      <c r="R181" s="33" t="s">
        <v>554</v>
      </c>
      <c r="S181" s="51" t="s">
        <v>1687</v>
      </c>
    </row>
    <row r="182" spans="2:19">
      <c r="B182" s="104" t="str">
        <f t="shared" si="9"/>
        <v>Typ podložky</v>
      </c>
      <c r="C182">
        <v>54</v>
      </c>
      <c r="O182" s="67" t="s">
        <v>197</v>
      </c>
      <c r="P182" s="33" t="s">
        <v>197</v>
      </c>
      <c r="Q182" s="33" t="s">
        <v>479</v>
      </c>
      <c r="R182" s="33" t="s">
        <v>555</v>
      </c>
      <c r="S182" s="51" t="s">
        <v>1688</v>
      </c>
    </row>
    <row r="183" spans="2:19">
      <c r="B183" s="104" t="str">
        <f t="shared" si="9"/>
        <v>Počet závěsu na 1 rámeček</v>
      </c>
      <c r="C183">
        <v>55</v>
      </c>
      <c r="O183" s="67" t="s">
        <v>342</v>
      </c>
      <c r="P183" s="33" t="s">
        <v>413</v>
      </c>
      <c r="Q183" s="33" t="s">
        <v>480</v>
      </c>
      <c r="R183" s="33" t="s">
        <v>556</v>
      </c>
      <c r="S183" s="51" t="s">
        <v>1689</v>
      </c>
    </row>
    <row r="184" spans="2:19">
      <c r="B184" s="104" t="str">
        <f t="shared" si="9"/>
        <v>Zvedací písty</v>
      </c>
      <c r="C184">
        <v>56</v>
      </c>
      <c r="O184" s="67" t="s">
        <v>209</v>
      </c>
      <c r="P184" s="33" t="s">
        <v>414</v>
      </c>
      <c r="Q184" s="33" t="s">
        <v>481</v>
      </c>
      <c r="R184" s="33" t="s">
        <v>557</v>
      </c>
      <c r="S184" s="51" t="s">
        <v>1690</v>
      </c>
    </row>
    <row r="185" spans="2:19">
      <c r="B185" s="104" t="str">
        <f t="shared" si="9"/>
        <v>Dodat včetně uvedeného kování</v>
      </c>
      <c r="C185">
        <v>57</v>
      </c>
      <c r="O185" s="67" t="s">
        <v>198</v>
      </c>
      <c r="P185" s="33" t="s">
        <v>415</v>
      </c>
      <c r="Q185" s="33" t="s">
        <v>515</v>
      </c>
      <c r="R185" s="33" t="s">
        <v>558</v>
      </c>
      <c r="S185" s="51" t="s">
        <v>1691</v>
      </c>
    </row>
    <row r="186" spans="2:19">
      <c r="B186" s="104" t="str">
        <f t="shared" si="9"/>
        <v>Umístění pístů</v>
      </c>
      <c r="C186">
        <v>58</v>
      </c>
      <c r="O186" s="67" t="s">
        <v>210</v>
      </c>
      <c r="P186" s="33" t="s">
        <v>416</v>
      </c>
      <c r="Q186" s="33" t="s">
        <v>482</v>
      </c>
      <c r="R186" s="33" t="s">
        <v>559</v>
      </c>
      <c r="S186" s="51" t="s">
        <v>1692</v>
      </c>
    </row>
    <row r="187" spans="2:19">
      <c r="B187" s="104" t="str">
        <f t="shared" si="9"/>
        <v xml:space="preserve">Vpravo </v>
      </c>
      <c r="C187">
        <v>59</v>
      </c>
      <c r="O187" s="67" t="s">
        <v>212</v>
      </c>
      <c r="P187" s="33" t="s">
        <v>417</v>
      </c>
      <c r="Q187" s="33" t="s">
        <v>483</v>
      </c>
      <c r="R187" s="33" t="s">
        <v>560</v>
      </c>
      <c r="S187" s="51" t="s">
        <v>1693</v>
      </c>
    </row>
    <row r="188" spans="2:19">
      <c r="B188" s="104" t="str">
        <f t="shared" si="9"/>
        <v>Vlevo</v>
      </c>
      <c r="C188">
        <v>60</v>
      </c>
      <c r="O188" s="67" t="s">
        <v>211</v>
      </c>
      <c r="P188" s="33" t="s">
        <v>418</v>
      </c>
      <c r="Q188" s="33" t="s">
        <v>484</v>
      </c>
      <c r="R188" s="33" t="s">
        <v>561</v>
      </c>
      <c r="S188" s="51" t="s">
        <v>1694</v>
      </c>
    </row>
    <row r="189" spans="2:19">
      <c r="B189" s="104" t="str">
        <f t="shared" si="9"/>
        <v>2 Kusy (obě strany)</v>
      </c>
      <c r="C189">
        <v>61</v>
      </c>
      <c r="O189" s="67" t="s">
        <v>213</v>
      </c>
      <c r="P189" s="33" t="s">
        <v>419</v>
      </c>
      <c r="Q189" s="33" t="s">
        <v>485</v>
      </c>
      <c r="R189" s="33" t="s">
        <v>562</v>
      </c>
      <c r="S189" s="51" t="s">
        <v>1695</v>
      </c>
    </row>
    <row r="190" spans="2:19">
      <c r="B190" s="104" t="str">
        <f t="shared" si="9"/>
        <v>Provedení druhého dvířka</v>
      </c>
      <c r="C190">
        <v>62</v>
      </c>
      <c r="O190" s="67" t="s">
        <v>341</v>
      </c>
      <c r="P190" s="33" t="s">
        <v>420</v>
      </c>
      <c r="Q190" s="33" t="s">
        <v>514</v>
      </c>
      <c r="R190" s="33" t="s">
        <v>563</v>
      </c>
      <c r="S190" s="51" t="s">
        <v>1696</v>
      </c>
    </row>
    <row r="191" spans="2:19">
      <c r="B191" s="104" t="str">
        <f t="shared" si="9"/>
        <v>Úzký ALU rámeček</v>
      </c>
      <c r="C191">
        <v>63</v>
      </c>
      <c r="O191" s="67" t="s">
        <v>215</v>
      </c>
      <c r="P191" s="33" t="s">
        <v>421</v>
      </c>
      <c r="Q191" s="33" t="s">
        <v>486</v>
      </c>
      <c r="R191" s="33" t="s">
        <v>564</v>
      </c>
      <c r="S191" s="51" t="s">
        <v>1697</v>
      </c>
    </row>
    <row r="192" spans="2:19">
      <c r="B192" s="104" t="str">
        <f t="shared" si="9"/>
        <v>Široký ALU rámeček</v>
      </c>
      <c r="C192">
        <v>64</v>
      </c>
      <c r="O192" s="67" t="s">
        <v>216</v>
      </c>
      <c r="P192" s="33" t="s">
        <v>422</v>
      </c>
      <c r="Q192" s="33" t="s">
        <v>487</v>
      </c>
      <c r="R192" s="33" t="s">
        <v>565</v>
      </c>
      <c r="S192" s="51" t="s">
        <v>1698</v>
      </c>
    </row>
    <row r="193" spans="2:19">
      <c r="B193" s="104" t="str">
        <f t="shared" ref="B193:B256" si="10">IF($D$1=1,O:O,IF($D$1=2,P:P,IF($D$1=3,Q:Q,IF($D$1=4,R:R,IF($D$1=5,S:S)))))</f>
        <v>MDF tloušťky 16 mm</v>
      </c>
      <c r="C193">
        <v>65</v>
      </c>
      <c r="O193" s="67" t="s">
        <v>218</v>
      </c>
      <c r="P193" s="33" t="s">
        <v>423</v>
      </c>
      <c r="Q193" s="33" t="s">
        <v>488</v>
      </c>
      <c r="R193" s="33" t="s">
        <v>566</v>
      </c>
      <c r="S193" s="51" t="s">
        <v>1699</v>
      </c>
    </row>
    <row r="194" spans="2:19">
      <c r="B194" s="104" t="str">
        <f t="shared" si="10"/>
        <v>MDF tloušťky 18 mm</v>
      </c>
      <c r="C194">
        <v>66</v>
      </c>
      <c r="O194" s="67" t="s">
        <v>217</v>
      </c>
      <c r="P194" s="33" t="s">
        <v>424</v>
      </c>
      <c r="Q194" s="33" t="s">
        <v>489</v>
      </c>
      <c r="R194" s="33" t="s">
        <v>567</v>
      </c>
      <c r="S194" s="51" t="s">
        <v>1700</v>
      </c>
    </row>
    <row r="195" spans="2:19">
      <c r="B195" s="104" t="str">
        <f t="shared" si="10"/>
        <v>DTDL tloušťky 18 mm</v>
      </c>
      <c r="C195">
        <v>67</v>
      </c>
      <c r="O195" s="67" t="s">
        <v>219</v>
      </c>
      <c r="P195" s="33" t="s">
        <v>425</v>
      </c>
      <c r="Q195" s="33" t="s">
        <v>490</v>
      </c>
      <c r="R195" s="33" t="s">
        <v>568</v>
      </c>
      <c r="S195" s="51" t="s">
        <v>1701</v>
      </c>
    </row>
    <row r="196" spans="2:19">
      <c r="B196" s="104" t="str">
        <f t="shared" si="10"/>
        <v>Umístění závěsů</v>
      </c>
      <c r="C196">
        <v>68</v>
      </c>
      <c r="O196" s="67" t="s">
        <v>220</v>
      </c>
      <c r="P196" s="33" t="s">
        <v>426</v>
      </c>
      <c r="Q196" s="33" t="s">
        <v>491</v>
      </c>
      <c r="R196" s="33" t="s">
        <v>569</v>
      </c>
      <c r="S196" s="51" t="s">
        <v>1702</v>
      </c>
    </row>
    <row r="197" spans="2:19">
      <c r="B197" s="104" t="str">
        <f t="shared" si="10"/>
        <v>Nahoře</v>
      </c>
      <c r="C197">
        <v>69</v>
      </c>
      <c r="O197" s="67" t="s">
        <v>221</v>
      </c>
      <c r="P197" s="33" t="s">
        <v>427</v>
      </c>
      <c r="Q197" s="33" t="s">
        <v>492</v>
      </c>
      <c r="R197" s="33" t="s">
        <v>570</v>
      </c>
      <c r="S197" s="51" t="s">
        <v>1703</v>
      </c>
    </row>
    <row r="198" spans="2:19">
      <c r="B198" s="104" t="str">
        <f t="shared" si="10"/>
        <v>Dole</v>
      </c>
      <c r="C198">
        <v>70</v>
      </c>
      <c r="O198" s="67" t="s">
        <v>222</v>
      </c>
      <c r="P198" s="33" t="s">
        <v>222</v>
      </c>
      <c r="Q198" s="33" t="s">
        <v>493</v>
      </c>
      <c r="R198" s="33" t="s">
        <v>571</v>
      </c>
      <c r="S198" s="51" t="s">
        <v>1704</v>
      </c>
    </row>
    <row r="199" spans="2:19">
      <c r="B199" s="104" t="str">
        <f t="shared" si="10"/>
        <v>Vyberte ze seznamu</v>
      </c>
      <c r="C199">
        <v>71</v>
      </c>
      <c r="O199" s="67" t="s">
        <v>228</v>
      </c>
      <c r="P199" s="33" t="s">
        <v>428</v>
      </c>
      <c r="Q199" s="33" t="s">
        <v>494</v>
      </c>
      <c r="R199" s="33" t="s">
        <v>572</v>
      </c>
      <c r="S199" s="51" t="s">
        <v>1705</v>
      </c>
    </row>
    <row r="200" spans="2:19">
      <c r="B200" s="104" t="str">
        <f t="shared" si="10"/>
        <v>Vzdálenost závěsu od kraje</v>
      </c>
      <c r="C200">
        <v>72</v>
      </c>
      <c r="O200" s="67" t="s">
        <v>343</v>
      </c>
      <c r="P200" s="33" t="s">
        <v>429</v>
      </c>
      <c r="Q200" s="33" t="s">
        <v>495</v>
      </c>
      <c r="R200" s="33" t="s">
        <v>573</v>
      </c>
      <c r="S200" s="51" t="s">
        <v>1706</v>
      </c>
    </row>
    <row r="201" spans="2:19">
      <c r="B201" s="104" t="str">
        <f t="shared" si="10"/>
        <v>Vyplňte pouze pokud nebude vrtání symetricky na střed</v>
      </c>
      <c r="C201">
        <v>73</v>
      </c>
      <c r="O201" s="67" t="s">
        <v>344</v>
      </c>
      <c r="P201" s="33" t="s">
        <v>430</v>
      </c>
      <c r="Q201" s="33" t="s">
        <v>1550</v>
      </c>
      <c r="R201" s="33" t="s">
        <v>574</v>
      </c>
      <c r="S201" s="51" t="s">
        <v>1707</v>
      </c>
    </row>
    <row r="202" spans="2:19">
      <c r="B202" s="104" t="str">
        <f t="shared" si="10"/>
        <v>Objednávkový formulář ALU rámečků</v>
      </c>
      <c r="C202">
        <v>74</v>
      </c>
      <c r="O202" s="67" t="s">
        <v>345</v>
      </c>
      <c r="P202" s="33" t="s">
        <v>431</v>
      </c>
      <c r="Q202" s="33" t="s">
        <v>496</v>
      </c>
      <c r="R202" s="33" t="s">
        <v>640</v>
      </c>
      <c r="S202" s="51" t="s">
        <v>1708</v>
      </c>
    </row>
    <row r="203" spans="2:19">
      <c r="B203" s="104" t="str">
        <f t="shared" si="10"/>
        <v xml:space="preserve">Při vyplňování formuláře postupujte vždy shora dolů. Provedete li zpětně změnu, překontrolujte zda jsou následující položky správně. </v>
      </c>
      <c r="C203">
        <v>75</v>
      </c>
      <c r="O203" s="67" t="s">
        <v>381</v>
      </c>
      <c r="P203" s="33" t="s">
        <v>438</v>
      </c>
      <c r="Q203" s="33" t="s">
        <v>497</v>
      </c>
      <c r="R203" s="33" t="s">
        <v>575</v>
      </c>
      <c r="S203" s="51" t="s">
        <v>1709</v>
      </c>
    </row>
    <row r="204" spans="2:19" s="71" customFormat="1">
      <c r="B204" s="104" t="str">
        <f t="shared" si="10"/>
        <v>Ceny jsou platné od 1.02.2020/Verze 20.01</v>
      </c>
      <c r="C204">
        <v>76</v>
      </c>
      <c r="O204" s="84" t="s">
        <v>1572</v>
      </c>
      <c r="P204" s="85" t="s">
        <v>1569</v>
      </c>
      <c r="Q204" s="85" t="s">
        <v>1570</v>
      </c>
      <c r="R204" s="85" t="s">
        <v>1571</v>
      </c>
      <c r="S204" s="51" t="s">
        <v>1710</v>
      </c>
    </row>
    <row r="205" spans="2:19">
      <c r="B205" s="104" t="str">
        <f t="shared" si="10"/>
        <v>Cena celkem</v>
      </c>
      <c r="C205">
        <v>77</v>
      </c>
      <c r="O205" s="67" t="s">
        <v>16</v>
      </c>
      <c r="P205" s="33" t="s">
        <v>432</v>
      </c>
      <c r="Q205" s="33" t="s">
        <v>498</v>
      </c>
      <c r="R205" s="33" t="s">
        <v>576</v>
      </c>
      <c r="S205" s="51" t="s">
        <v>1711</v>
      </c>
    </row>
    <row r="206" spans="2:19">
      <c r="B206" s="104" t="str">
        <f t="shared" si="10"/>
        <v>Zákazník</v>
      </c>
      <c r="C206">
        <v>78</v>
      </c>
      <c r="O206" s="67" t="s">
        <v>347</v>
      </c>
      <c r="P206" s="33" t="s">
        <v>347</v>
      </c>
      <c r="Q206" s="33" t="s">
        <v>499</v>
      </c>
      <c r="R206" s="33" t="s">
        <v>577</v>
      </c>
      <c r="S206" s="51" t="s">
        <v>1712</v>
      </c>
    </row>
    <row r="207" spans="2:19">
      <c r="B207" s="104" t="str">
        <f t="shared" si="10"/>
        <v>Kontaktní tel.</v>
      </c>
      <c r="C207">
        <v>79</v>
      </c>
      <c r="O207" s="67" t="s">
        <v>349</v>
      </c>
      <c r="P207" s="33" t="s">
        <v>433</v>
      </c>
      <c r="Q207" s="33" t="s">
        <v>500</v>
      </c>
      <c r="R207" s="33" t="s">
        <v>578</v>
      </c>
      <c r="S207" s="51" t="s">
        <v>1713</v>
      </c>
    </row>
    <row r="208" spans="2:19">
      <c r="B208" s="104" t="str">
        <f t="shared" si="10"/>
        <v>Kontaktní e-mail</v>
      </c>
      <c r="C208">
        <v>80</v>
      </c>
      <c r="O208" s="67" t="s">
        <v>350</v>
      </c>
      <c r="P208" s="33" t="s">
        <v>434</v>
      </c>
      <c r="Q208" s="33" t="s">
        <v>501</v>
      </c>
      <c r="R208" s="33" t="s">
        <v>579</v>
      </c>
      <c r="S208" s="51" t="s">
        <v>1714</v>
      </c>
    </row>
    <row r="209" spans="2:19">
      <c r="B209" s="104" t="str">
        <f t="shared" si="10"/>
        <v>Adresa provozovny</v>
      </c>
      <c r="C209">
        <v>81</v>
      </c>
      <c r="O209" s="67" t="s">
        <v>348</v>
      </c>
      <c r="P209" s="33" t="s">
        <v>435</v>
      </c>
      <c r="Q209" s="33" t="s">
        <v>502</v>
      </c>
      <c r="R209" s="33" t="s">
        <v>580</v>
      </c>
      <c r="S209" s="51" t="s">
        <v>1715</v>
      </c>
    </row>
    <row r="210" spans="2:19">
      <c r="B210" s="104" t="str">
        <f t="shared" si="10"/>
        <v>IČ:</v>
      </c>
      <c r="C210">
        <v>82</v>
      </c>
      <c r="O210" s="67" t="s">
        <v>346</v>
      </c>
      <c r="P210" s="33" t="s">
        <v>346</v>
      </c>
      <c r="Q210" s="33" t="s">
        <v>503</v>
      </c>
      <c r="R210" s="33" t="s">
        <v>346</v>
      </c>
      <c r="S210" s="51" t="s">
        <v>1716</v>
      </c>
    </row>
    <row r="211" spans="2:19">
      <c r="B211" s="104" t="str">
        <f t="shared" si="10"/>
        <v>Sleva na rámečky</v>
      </c>
      <c r="C211">
        <v>83</v>
      </c>
      <c r="O211" s="67" t="s">
        <v>351</v>
      </c>
      <c r="P211" s="33" t="s">
        <v>436</v>
      </c>
      <c r="Q211" s="33" t="s">
        <v>504</v>
      </c>
      <c r="R211" s="33" t="s">
        <v>581</v>
      </c>
      <c r="S211" s="51" t="s">
        <v>1717</v>
      </c>
    </row>
    <row r="212" spans="2:19">
      <c r="B212" s="104" t="str">
        <f t="shared" si="10"/>
        <v>Sleva na kování</v>
      </c>
      <c r="C212">
        <v>84</v>
      </c>
      <c r="O212" s="67" t="s">
        <v>352</v>
      </c>
      <c r="P212" s="33" t="s">
        <v>437</v>
      </c>
      <c r="Q212" s="33" t="s">
        <v>505</v>
      </c>
      <c r="R212" s="33" t="s">
        <v>582</v>
      </c>
      <c r="S212" s="51" t="s">
        <v>1718</v>
      </c>
    </row>
    <row r="213" spans="2:19">
      <c r="B213" s="104" t="str">
        <f t="shared" si="10"/>
        <v>Číslo objednávky</v>
      </c>
      <c r="C213">
        <v>85</v>
      </c>
      <c r="O213" s="67" t="s">
        <v>372</v>
      </c>
      <c r="P213" s="33" t="s">
        <v>372</v>
      </c>
      <c r="Q213" s="33" t="s">
        <v>12</v>
      </c>
      <c r="R213" s="33" t="s">
        <v>583</v>
      </c>
      <c r="S213" s="51" t="s">
        <v>1719</v>
      </c>
    </row>
    <row r="214" spans="2:19">
      <c r="B214" s="104" t="str">
        <f t="shared" si="10"/>
        <v>Barevné náhledy u jednotlivých názvů RAL a REF jsou pouze orientační!!!!</v>
      </c>
      <c r="C214">
        <v>86</v>
      </c>
      <c r="O214" s="67" t="s">
        <v>371</v>
      </c>
      <c r="P214" s="33" t="s">
        <v>440</v>
      </c>
      <c r="Q214" s="33" t="s">
        <v>1551</v>
      </c>
      <c r="R214" s="33" t="s">
        <v>1287</v>
      </c>
      <c r="S214" s="51" t="s">
        <v>1720</v>
      </c>
    </row>
    <row r="215" spans="2:19">
      <c r="B215" s="104" t="str">
        <f t="shared" si="10"/>
        <v>Typ kování</v>
      </c>
      <c r="C215">
        <v>87</v>
      </c>
      <c r="O215" s="67" t="s">
        <v>73</v>
      </c>
      <c r="P215" s="33" t="s">
        <v>439</v>
      </c>
      <c r="Q215" s="33" t="s">
        <v>513</v>
      </c>
      <c r="R215" s="33" t="s">
        <v>1547</v>
      </c>
      <c r="S215" s="51" t="s">
        <v>1721</v>
      </c>
    </row>
    <row r="216" spans="2:19">
      <c r="B216" s="104" t="str">
        <f t="shared" si="10"/>
        <v>AVENTOS HF</v>
      </c>
      <c r="C216">
        <v>88</v>
      </c>
      <c r="O216" s="67" t="s">
        <v>79</v>
      </c>
      <c r="P216" s="67" t="s">
        <v>79</v>
      </c>
      <c r="Q216" s="67" t="s">
        <v>79</v>
      </c>
      <c r="R216" s="67" t="s">
        <v>79</v>
      </c>
      <c r="S216" s="51" t="s">
        <v>79</v>
      </c>
    </row>
    <row r="217" spans="2:19">
      <c r="B217" s="104" t="str">
        <f t="shared" si="10"/>
        <v>AVENTOS HK TOP</v>
      </c>
      <c r="C217">
        <v>89</v>
      </c>
      <c r="O217" s="68" t="s">
        <v>1566</v>
      </c>
      <c r="P217" s="68" t="s">
        <v>1566</v>
      </c>
      <c r="Q217" s="68" t="s">
        <v>1566</v>
      </c>
      <c r="R217" s="68" t="s">
        <v>1566</v>
      </c>
      <c r="S217" s="51" t="s">
        <v>1566</v>
      </c>
    </row>
    <row r="218" spans="2:19">
      <c r="B218" s="104" t="str">
        <f t="shared" si="10"/>
        <v>AVENTOS HKS</v>
      </c>
      <c r="C218">
        <v>90</v>
      </c>
      <c r="O218" s="68" t="s">
        <v>80</v>
      </c>
      <c r="P218" s="68" t="s">
        <v>80</v>
      </c>
      <c r="Q218" s="68" t="s">
        <v>80</v>
      </c>
      <c r="R218" s="68" t="s">
        <v>80</v>
      </c>
      <c r="S218" s="51" t="s">
        <v>80</v>
      </c>
    </row>
    <row r="219" spans="2:19">
      <c r="B219" s="104" t="str">
        <f t="shared" si="10"/>
        <v>AVENTOS HL</v>
      </c>
      <c r="C219">
        <v>91</v>
      </c>
      <c r="O219" s="68" t="s">
        <v>81</v>
      </c>
      <c r="P219" s="68" t="s">
        <v>81</v>
      </c>
      <c r="Q219" s="68" t="s">
        <v>81</v>
      </c>
      <c r="R219" s="68" t="s">
        <v>81</v>
      </c>
      <c r="S219" s="51" t="s">
        <v>81</v>
      </c>
    </row>
    <row r="220" spans="2:19">
      <c r="B220" s="104" t="str">
        <f t="shared" si="10"/>
        <v>AVENTOS HS</v>
      </c>
      <c r="C220">
        <v>92</v>
      </c>
      <c r="O220" s="68" t="s">
        <v>82</v>
      </c>
      <c r="P220" s="68" t="s">
        <v>82</v>
      </c>
      <c r="Q220" s="68" t="s">
        <v>82</v>
      </c>
      <c r="R220" s="68" t="s">
        <v>82</v>
      </c>
      <c r="S220" s="51" t="s">
        <v>82</v>
      </c>
    </row>
    <row r="221" spans="2:19">
      <c r="B221" s="104" t="str">
        <f t="shared" si="10"/>
        <v>AVENTOS HK-XS</v>
      </c>
      <c r="C221">
        <v>93</v>
      </c>
      <c r="O221" s="68" t="s">
        <v>990</v>
      </c>
      <c r="P221" s="68" t="s">
        <v>990</v>
      </c>
      <c r="Q221" s="68" t="s">
        <v>990</v>
      </c>
      <c r="R221" s="68" t="s">
        <v>990</v>
      </c>
      <c r="S221" s="51" t="s">
        <v>990</v>
      </c>
    </row>
    <row r="222" spans="2:19">
      <c r="B222" s="104" t="str">
        <f t="shared" si="10"/>
        <v>AVENTOS HK-XS TIP-ON</v>
      </c>
      <c r="C222">
        <v>94</v>
      </c>
      <c r="O222" s="68" t="s">
        <v>1004</v>
      </c>
      <c r="P222" s="68" t="s">
        <v>1004</v>
      </c>
      <c r="Q222" s="68" t="s">
        <v>1004</v>
      </c>
      <c r="R222" s="68" t="s">
        <v>1004</v>
      </c>
      <c r="S222" s="51" t="s">
        <v>1004</v>
      </c>
    </row>
    <row r="223" spans="2:19">
      <c r="B223" s="104" t="str">
        <f t="shared" si="10"/>
        <v>FGV</v>
      </c>
      <c r="C223">
        <v>95</v>
      </c>
      <c r="O223" s="68" t="s">
        <v>1</v>
      </c>
      <c r="P223" s="68" t="s">
        <v>1</v>
      </c>
      <c r="Q223" s="68" t="s">
        <v>1</v>
      </c>
      <c r="R223" s="68" t="s">
        <v>1</v>
      </c>
      <c r="S223" s="51" t="s">
        <v>1</v>
      </c>
    </row>
    <row r="224" spans="2:19">
      <c r="B224" s="104" t="str">
        <f t="shared" si="10"/>
        <v>BLUM</v>
      </c>
      <c r="C224">
        <v>96</v>
      </c>
      <c r="O224" s="68" t="s">
        <v>2</v>
      </c>
      <c r="P224" s="68" t="s">
        <v>2</v>
      </c>
      <c r="Q224" s="68" t="s">
        <v>2</v>
      </c>
      <c r="R224" s="68" t="s">
        <v>2</v>
      </c>
      <c r="S224" s="51" t="s">
        <v>2</v>
      </c>
    </row>
    <row r="225" spans="2:19">
      <c r="B225" s="104" t="str">
        <f t="shared" si="10"/>
        <v>STRONG bez tlumení</v>
      </c>
      <c r="C225">
        <v>97</v>
      </c>
      <c r="O225" s="68" t="s">
        <v>1108</v>
      </c>
      <c r="P225" s="68" t="s">
        <v>1453</v>
      </c>
      <c r="Q225" s="68" t="s">
        <v>1454</v>
      </c>
      <c r="R225" s="68" t="s">
        <v>1455</v>
      </c>
      <c r="S225" s="51" t="s">
        <v>1722</v>
      </c>
    </row>
    <row r="226" spans="2:19">
      <c r="B226" s="104" t="str">
        <f t="shared" si="10"/>
        <v>HETTICH</v>
      </c>
      <c r="C226">
        <v>98</v>
      </c>
      <c r="O226" s="68" t="s">
        <v>989</v>
      </c>
      <c r="P226" s="68" t="s">
        <v>989</v>
      </c>
      <c r="Q226" s="68" t="s">
        <v>989</v>
      </c>
      <c r="R226" s="68" t="s">
        <v>989</v>
      </c>
      <c r="S226" s="51" t="s">
        <v>989</v>
      </c>
    </row>
    <row r="227" spans="2:19">
      <c r="B227" s="104" t="str">
        <f t="shared" si="10"/>
        <v xml:space="preserve">Vyplňte pouze pokud nebude vrtání symetricky na střed </v>
      </c>
      <c r="C227">
        <v>99</v>
      </c>
      <c r="O227" s="67" t="s">
        <v>512</v>
      </c>
      <c r="P227" s="68" t="s">
        <v>603</v>
      </c>
      <c r="Q227" s="33" t="s">
        <v>608</v>
      </c>
      <c r="R227" s="33" t="s">
        <v>615</v>
      </c>
      <c r="S227" s="51" t="s">
        <v>1707</v>
      </c>
    </row>
    <row r="228" spans="2:19">
      <c r="B228" s="104" t="str">
        <f t="shared" si="10"/>
        <v>Posuvné rámečky</v>
      </c>
      <c r="C228">
        <v>100</v>
      </c>
      <c r="O228" s="67" t="s">
        <v>7</v>
      </c>
      <c r="P228" s="68" t="s">
        <v>604</v>
      </c>
      <c r="Q228" s="33" t="s">
        <v>609</v>
      </c>
      <c r="R228" s="33" t="s">
        <v>616</v>
      </c>
      <c r="S228" s="51" t="s">
        <v>1723</v>
      </c>
    </row>
    <row r="229" spans="2:19">
      <c r="B229" s="104" t="str">
        <f t="shared" si="10"/>
        <v>Standardně je objednávka dodána včetně kování a vodících profilů</v>
      </c>
      <c r="C229">
        <v>101</v>
      </c>
      <c r="O229" s="67" t="s">
        <v>375</v>
      </c>
      <c r="P229" s="33" t="s">
        <v>597</v>
      </c>
      <c r="Q229" s="33" t="s">
        <v>641</v>
      </c>
      <c r="R229" s="67" t="s">
        <v>617</v>
      </c>
      <c r="S229" s="51" t="s">
        <v>1724</v>
      </c>
    </row>
    <row r="230" spans="2:19">
      <c r="B230" s="104" t="str">
        <f t="shared" si="10"/>
        <v xml:space="preserve">Vnitřní rozměr skříňky (mm)  </v>
      </c>
      <c r="C230">
        <v>102</v>
      </c>
      <c r="O230" s="67" t="s">
        <v>600</v>
      </c>
      <c r="P230" s="33" t="s">
        <v>598</v>
      </c>
      <c r="Q230" s="33" t="s">
        <v>610</v>
      </c>
      <c r="R230" s="33" t="s">
        <v>618</v>
      </c>
      <c r="S230" s="51" t="s">
        <v>1725</v>
      </c>
    </row>
    <row r="231" spans="2:19">
      <c r="B231" s="104" t="str">
        <f t="shared" si="10"/>
        <v>Počet dvířek</v>
      </c>
      <c r="C231">
        <v>103</v>
      </c>
      <c r="O231" s="67" t="s">
        <v>374</v>
      </c>
      <c r="P231" s="33" t="s">
        <v>599</v>
      </c>
      <c r="Q231" s="33" t="s">
        <v>611</v>
      </c>
      <c r="R231" s="67" t="s">
        <v>619</v>
      </c>
      <c r="S231" s="51" t="s">
        <v>1726</v>
      </c>
    </row>
    <row r="232" spans="2:19">
      <c r="B232" s="104" t="str">
        <f t="shared" si="10"/>
        <v>Zde jsou uvedeny standardní přesahy dvířek</v>
      </c>
      <c r="C232">
        <v>104</v>
      </c>
      <c r="O232" s="67" t="s">
        <v>807</v>
      </c>
      <c r="P232" s="70" t="s">
        <v>601</v>
      </c>
      <c r="Q232" s="33" t="s">
        <v>808</v>
      </c>
      <c r="R232" s="67" t="s">
        <v>809</v>
      </c>
      <c r="S232" s="51" t="s">
        <v>1727</v>
      </c>
    </row>
    <row r="233" spans="2:19">
      <c r="B233" s="104" t="str">
        <f t="shared" si="10"/>
        <v>barva</v>
      </c>
      <c r="C233">
        <v>105</v>
      </c>
      <c r="O233" s="67" t="s">
        <v>353</v>
      </c>
      <c r="P233" s="33" t="s">
        <v>602</v>
      </c>
      <c r="Q233" s="33" t="s">
        <v>612</v>
      </c>
      <c r="R233" s="67" t="s">
        <v>620</v>
      </c>
      <c r="S233" s="51" t="s">
        <v>1728</v>
      </c>
    </row>
    <row r="234" spans="2:19">
      <c r="B234" s="104" t="str">
        <f t="shared" si="10"/>
        <v>Objednávka ALU</v>
      </c>
      <c r="C234">
        <v>106</v>
      </c>
      <c r="O234" s="67" t="s">
        <v>595</v>
      </c>
      <c r="P234" s="33" t="s">
        <v>595</v>
      </c>
      <c r="Q234" s="33" t="s">
        <v>613</v>
      </c>
      <c r="R234" s="67" t="s">
        <v>621</v>
      </c>
      <c r="S234" s="51" t="s">
        <v>1729</v>
      </c>
    </row>
    <row r="235" spans="2:19">
      <c r="B235" s="104" t="str">
        <f t="shared" si="10"/>
        <v>Posuvné rámečky</v>
      </c>
      <c r="C235">
        <v>107</v>
      </c>
      <c r="O235" s="67" t="s">
        <v>7</v>
      </c>
      <c r="P235" s="68" t="s">
        <v>604</v>
      </c>
      <c r="Q235" s="33" t="s">
        <v>609</v>
      </c>
      <c r="R235" s="33" t="s">
        <v>616</v>
      </c>
      <c r="S235" s="51" t="s">
        <v>1723</v>
      </c>
    </row>
    <row r="236" spans="2:19">
      <c r="B236" s="104" t="str">
        <f t="shared" si="10"/>
        <v>Barvy LACOBEL A MATELAC</v>
      </c>
      <c r="C236">
        <v>108</v>
      </c>
      <c r="O236" s="67" t="s">
        <v>596</v>
      </c>
      <c r="P236" s="33" t="s">
        <v>605</v>
      </c>
      <c r="Q236" s="33" t="s">
        <v>614</v>
      </c>
      <c r="R236" s="67" t="s">
        <v>622</v>
      </c>
      <c r="S236" s="51" t="s">
        <v>1730</v>
      </c>
    </row>
    <row r="237" spans="2:19">
      <c r="B237" s="104" t="str">
        <f t="shared" si="10"/>
        <v>20L3200</v>
      </c>
      <c r="C237">
        <v>109</v>
      </c>
      <c r="O237" s="58" t="s">
        <v>624</v>
      </c>
      <c r="P237" s="58" t="s">
        <v>624</v>
      </c>
      <c r="Q237" s="58" t="s">
        <v>624</v>
      </c>
      <c r="R237" s="58" t="s">
        <v>624</v>
      </c>
      <c r="S237" s="51" t="s">
        <v>624</v>
      </c>
    </row>
    <row r="238" spans="2:19">
      <c r="B238" s="104" t="str">
        <f t="shared" si="10"/>
        <v>20L3500</v>
      </c>
      <c r="C238">
        <v>110</v>
      </c>
      <c r="O238" s="58" t="s">
        <v>625</v>
      </c>
      <c r="P238" s="58" t="s">
        <v>625</v>
      </c>
      <c r="Q238" s="58" t="s">
        <v>625</v>
      </c>
      <c r="R238" s="58" t="s">
        <v>625</v>
      </c>
      <c r="S238" s="51" t="s">
        <v>625</v>
      </c>
    </row>
    <row r="239" spans="2:19">
      <c r="B239" s="104" t="str">
        <f t="shared" si="10"/>
        <v>20L3800</v>
      </c>
      <c r="C239">
        <v>111</v>
      </c>
      <c r="O239" s="58" t="s">
        <v>626</v>
      </c>
      <c r="P239" s="58" t="s">
        <v>626</v>
      </c>
      <c r="Q239" s="58" t="s">
        <v>626</v>
      </c>
      <c r="R239" s="58" t="s">
        <v>626</v>
      </c>
      <c r="S239" s="51" t="s">
        <v>626</v>
      </c>
    </row>
    <row r="240" spans="2:19">
      <c r="B240" s="104" t="str">
        <f t="shared" si="10"/>
        <v>20L3900</v>
      </c>
      <c r="C240">
        <v>112</v>
      </c>
      <c r="O240" s="58" t="s">
        <v>627</v>
      </c>
      <c r="P240" s="58" t="s">
        <v>627</v>
      </c>
      <c r="Q240" s="58" t="s">
        <v>627</v>
      </c>
      <c r="R240" s="58" t="s">
        <v>627</v>
      </c>
      <c r="S240" s="51" t="s">
        <v>627</v>
      </c>
    </row>
    <row r="241" spans="2:19">
      <c r="B241" s="104" t="str">
        <f t="shared" si="10"/>
        <v>Typ ramene</v>
      </c>
      <c r="C241">
        <v>113</v>
      </c>
      <c r="O241" s="58" t="s">
        <v>628</v>
      </c>
      <c r="P241" s="58" t="s">
        <v>631</v>
      </c>
      <c r="Q241" s="58" t="s">
        <v>632</v>
      </c>
      <c r="R241" s="58" t="s">
        <v>633</v>
      </c>
      <c r="S241" s="51" t="s">
        <v>1731</v>
      </c>
    </row>
    <row r="242" spans="2:19">
      <c r="B242" s="104" t="str">
        <f t="shared" si="10"/>
        <v>Hmotnost úchytky (g)</v>
      </c>
      <c r="C242">
        <v>114</v>
      </c>
      <c r="O242" s="58" t="s">
        <v>629</v>
      </c>
      <c r="P242" s="58" t="s">
        <v>634</v>
      </c>
      <c r="Q242" s="58" t="s">
        <v>635</v>
      </c>
      <c r="R242" s="58" t="s">
        <v>636</v>
      </c>
      <c r="S242" s="51" t="s">
        <v>1732</v>
      </c>
    </row>
    <row r="243" spans="2:19">
      <c r="B243" s="104" t="str">
        <f t="shared" si="10"/>
        <v>Typy profilů</v>
      </c>
      <c r="C243">
        <v>115</v>
      </c>
      <c r="O243" s="58" t="s">
        <v>630</v>
      </c>
      <c r="P243" s="33" t="s">
        <v>637</v>
      </c>
      <c r="Q243" s="33" t="s">
        <v>638</v>
      </c>
      <c r="R243" s="33" t="s">
        <v>639</v>
      </c>
      <c r="S243" s="51" t="s">
        <v>1733</v>
      </c>
    </row>
    <row r="244" spans="2:19">
      <c r="B244" s="104" t="str">
        <f t="shared" si="10"/>
        <v>AVENTOS HF Servo Drive</v>
      </c>
      <c r="C244">
        <v>116</v>
      </c>
      <c r="O244" s="67" t="s">
        <v>707</v>
      </c>
      <c r="P244" s="67" t="s">
        <v>707</v>
      </c>
      <c r="Q244" s="67" t="s">
        <v>707</v>
      </c>
      <c r="R244" s="67" t="s">
        <v>707</v>
      </c>
      <c r="S244" s="51" t="s">
        <v>707</v>
      </c>
    </row>
    <row r="245" spans="2:19">
      <c r="B245" s="104" t="str">
        <f t="shared" si="10"/>
        <v>AVENTOS HK TOP TIP ON</v>
      </c>
      <c r="C245">
        <v>117</v>
      </c>
      <c r="O245" s="67" t="s">
        <v>1568</v>
      </c>
      <c r="P245" s="67" t="s">
        <v>1568</v>
      </c>
      <c r="Q245" s="67" t="s">
        <v>1568</v>
      </c>
      <c r="R245" s="67" t="s">
        <v>1568</v>
      </c>
      <c r="S245" s="51" t="s">
        <v>1568</v>
      </c>
    </row>
    <row r="246" spans="2:19">
      <c r="B246" s="104" t="str">
        <f t="shared" si="10"/>
        <v>AVENTOS HKS TIP ON</v>
      </c>
      <c r="C246">
        <v>118</v>
      </c>
      <c r="O246" s="67" t="s">
        <v>708</v>
      </c>
      <c r="P246" s="67" t="s">
        <v>708</v>
      </c>
      <c r="Q246" s="67" t="s">
        <v>708</v>
      </c>
      <c r="R246" s="67" t="s">
        <v>708</v>
      </c>
      <c r="S246" s="51" t="s">
        <v>708</v>
      </c>
    </row>
    <row r="247" spans="2:19">
      <c r="B247" s="104" t="str">
        <f t="shared" si="10"/>
        <v>AVENTOS HK TOP Servo Drive</v>
      </c>
      <c r="C247">
        <v>119</v>
      </c>
      <c r="O247" s="67" t="s">
        <v>1567</v>
      </c>
      <c r="P247" s="67" t="s">
        <v>1567</v>
      </c>
      <c r="Q247" s="67" t="s">
        <v>1567</v>
      </c>
      <c r="R247" s="67" t="s">
        <v>1567</v>
      </c>
      <c r="S247" s="51" t="s">
        <v>1567</v>
      </c>
    </row>
    <row r="248" spans="2:19">
      <c r="B248" s="104" t="str">
        <f t="shared" si="10"/>
        <v>AVENTOS HL Servo Drive</v>
      </c>
      <c r="C248">
        <v>120</v>
      </c>
      <c r="O248" s="67" t="s">
        <v>709</v>
      </c>
      <c r="P248" s="67" t="s">
        <v>709</v>
      </c>
      <c r="Q248" s="67" t="s">
        <v>709</v>
      </c>
      <c r="R248" s="67" t="s">
        <v>709</v>
      </c>
      <c r="S248" s="51" t="s">
        <v>709</v>
      </c>
    </row>
    <row r="249" spans="2:19">
      <c r="B249" s="104" t="str">
        <f t="shared" si="10"/>
        <v>AVENTOS HS Servo Drive</v>
      </c>
      <c r="C249">
        <v>121</v>
      </c>
      <c r="O249" s="67" t="s">
        <v>710</v>
      </c>
      <c r="P249" s="67" t="s">
        <v>710</v>
      </c>
      <c r="Q249" s="67" t="s">
        <v>710</v>
      </c>
      <c r="R249" s="67" t="s">
        <v>710</v>
      </c>
      <c r="S249" s="51" t="s">
        <v>710</v>
      </c>
    </row>
    <row r="250" spans="2:19">
      <c r="B250" s="104" t="str">
        <f t="shared" si="10"/>
        <v>spodní</v>
      </c>
      <c r="C250">
        <v>122</v>
      </c>
      <c r="O250" s="67" t="s">
        <v>764</v>
      </c>
      <c r="P250" s="33" t="s">
        <v>765</v>
      </c>
      <c r="Q250" s="33" t="s">
        <v>766</v>
      </c>
      <c r="R250" s="33" t="s">
        <v>767</v>
      </c>
      <c r="S250" s="51" t="s">
        <v>1734</v>
      </c>
    </row>
    <row r="251" spans="2:19">
      <c r="B251" s="104" t="str">
        <f t="shared" si="10"/>
        <v>Minimální vzdálenost umístění závěsů</v>
      </c>
      <c r="C251">
        <v>123</v>
      </c>
      <c r="O251" s="58" t="s">
        <v>769</v>
      </c>
      <c r="P251" s="33" t="s">
        <v>820</v>
      </c>
      <c r="Q251" s="33" t="s">
        <v>835</v>
      </c>
      <c r="R251" s="33" t="s">
        <v>836</v>
      </c>
      <c r="S251" s="51" t="s">
        <v>1735</v>
      </c>
    </row>
    <row r="252" spans="2:19">
      <c r="B252" s="104" t="str">
        <f t="shared" si="10"/>
        <v>Naložený s integr. Blumotionem</v>
      </c>
      <c r="C252">
        <v>124</v>
      </c>
      <c r="O252" s="67" t="s">
        <v>771</v>
      </c>
      <c r="P252" s="33" t="s">
        <v>821</v>
      </c>
      <c r="Q252" s="33" t="s">
        <v>837</v>
      </c>
      <c r="R252" s="33" t="s">
        <v>838</v>
      </c>
      <c r="S252" s="51" t="s">
        <v>1736</v>
      </c>
    </row>
    <row r="253" spans="2:19">
      <c r="B253" s="104" t="str">
        <f t="shared" si="10"/>
        <v>Standardní vrtání otvorů pro závěsy u všech typů kování Aventos HF, je 100 mm od kraje.</v>
      </c>
      <c r="C253">
        <v>125</v>
      </c>
      <c r="O253" s="12" t="s">
        <v>813</v>
      </c>
      <c r="P253" t="s">
        <v>822</v>
      </c>
      <c r="Q253" t="s">
        <v>1552</v>
      </c>
      <c r="R253" t="s">
        <v>839</v>
      </c>
      <c r="S253" s="51" t="s">
        <v>1737</v>
      </c>
    </row>
    <row r="254" spans="2:19">
      <c r="B254" s="104" t="str">
        <f t="shared" si="10"/>
        <v>Standardní průměr otvorů pro úchytky je ve skle 7 mm a v rámečku 5 mm (distanční podložky jsou součástí balení).</v>
      </c>
      <c r="C254">
        <v>126</v>
      </c>
      <c r="O254" s="11" t="s">
        <v>775</v>
      </c>
      <c r="P254" t="s">
        <v>823</v>
      </c>
      <c r="Q254" t="s">
        <v>840</v>
      </c>
      <c r="R254" t="s">
        <v>841</v>
      </c>
      <c r="S254" s="51" t="s">
        <v>1738</v>
      </c>
    </row>
    <row r="255" spans="2:19">
      <c r="B255" s="104" t="str">
        <f t="shared" si="10"/>
        <v xml:space="preserve">Pokud je váš požadavek jiný než je uvedeno výše, uveďte ho do poznámky. </v>
      </c>
      <c r="C255">
        <v>127</v>
      </c>
      <c r="O255" s="11" t="s">
        <v>776</v>
      </c>
      <c r="P255" t="s">
        <v>824</v>
      </c>
      <c r="Q255" t="s">
        <v>842</v>
      </c>
      <c r="R255" t="s">
        <v>843</v>
      </c>
      <c r="S255" s="51" t="s">
        <v>1739</v>
      </c>
    </row>
    <row r="256" spans="2:19">
      <c r="B256" s="104" t="str">
        <f t="shared" si="10"/>
        <v>U určitých typů úchytek jsou závity pro šrouby zapuštěné a je nutné použít vhodné distanční podložky.</v>
      </c>
      <c r="C256">
        <v>128</v>
      </c>
      <c r="O256" s="11" t="s">
        <v>780</v>
      </c>
      <c r="P256" t="s">
        <v>825</v>
      </c>
      <c r="Q256" t="s">
        <v>1553</v>
      </c>
      <c r="R256" t="s">
        <v>1546</v>
      </c>
      <c r="S256" s="51" t="s">
        <v>1740</v>
      </c>
    </row>
    <row r="257" spans="2:19">
      <c r="B257" s="104" t="str">
        <f t="shared" ref="B257:B320" si="11">IF($D$1=1,O:O,IF($D$1=2,P:P,IF($D$1=3,Q:Q,IF($D$1=4,R:R,IF($D$1=5,S:S)))))</f>
        <v>Reklamace spojené s poškozením nelze uplatnit, pokud byl rámeček již namontován.</v>
      </c>
      <c r="C257">
        <v>129</v>
      </c>
      <c r="O257" s="11" t="s">
        <v>777</v>
      </c>
      <c r="P257" t="s">
        <v>826</v>
      </c>
      <c r="Q257" t="s">
        <v>844</v>
      </c>
      <c r="R257" t="s">
        <v>845</v>
      </c>
      <c r="S257" s="51" t="s">
        <v>1741</v>
      </c>
    </row>
    <row r="258" spans="2:19">
      <c r="B258" s="104" t="str">
        <f t="shared" si="11"/>
        <v xml:space="preserve">Pro připevnění kování do ALU rámečku, je nutné používat vruty pro toto určené (např. kód 13681). </v>
      </c>
      <c r="C258">
        <v>130</v>
      </c>
      <c r="O258" s="11" t="s">
        <v>778</v>
      </c>
      <c r="P258" t="s">
        <v>827</v>
      </c>
      <c r="Q258" t="s">
        <v>1554</v>
      </c>
      <c r="R258" t="s">
        <v>846</v>
      </c>
      <c r="S258" s="51" t="s">
        <v>1742</v>
      </c>
    </row>
    <row r="259" spans="2:19">
      <c r="B259" s="104" t="str">
        <f t="shared" si="11"/>
        <v>Vždy používejte aktuální verzi formuláře, který je dostupný na našich stánkách.</v>
      </c>
      <c r="C259">
        <v>131</v>
      </c>
      <c r="O259" s="11" t="s">
        <v>784</v>
      </c>
      <c r="P259" t="s">
        <v>828</v>
      </c>
      <c r="Q259" t="s">
        <v>847</v>
      </c>
      <c r="R259" t="s">
        <v>848</v>
      </c>
      <c r="S259" s="51" t="s">
        <v>1743</v>
      </c>
    </row>
    <row r="260" spans="2:19">
      <c r="B260" s="104">
        <f t="shared" si="11"/>
        <v>0</v>
      </c>
      <c r="C260">
        <v>132</v>
      </c>
      <c r="S260" s="51"/>
    </row>
    <row r="261" spans="2:19">
      <c r="B261" s="104" t="str">
        <f t="shared" si="11"/>
        <v xml:space="preserve">Objednávka může obsahovat i více typů (rozměrů) rámečků najednou, přičemž se taková objednávka bere jako platná. Proto doporučujeme před odeslání zkontrolovat formulář, zda obsahuje pouze vámi požadované rámečky.     </v>
      </c>
      <c r="C261">
        <v>133</v>
      </c>
      <c r="O261" s="11" t="s">
        <v>779</v>
      </c>
      <c r="P261" t="s">
        <v>849</v>
      </c>
      <c r="Q261" t="s">
        <v>1555</v>
      </c>
      <c r="R261" t="s">
        <v>850</v>
      </c>
      <c r="S261" s="51" t="s">
        <v>1744</v>
      </c>
    </row>
    <row r="262" spans="2:19">
      <c r="B262" s="104" t="str">
        <f t="shared" si="11"/>
        <v>Formulář obsahuje několik listů, mezi kterými je možné se přepínat ve spodní části.</v>
      </c>
      <c r="C262">
        <v>134</v>
      </c>
      <c r="O262" s="11" t="s">
        <v>781</v>
      </c>
      <c r="P262" t="s">
        <v>851</v>
      </c>
      <c r="Q262" t="s">
        <v>852</v>
      </c>
      <c r="R262" t="s">
        <v>853</v>
      </c>
      <c r="S262" s="51" t="s">
        <v>1745</v>
      </c>
    </row>
    <row r="263" spans="2:19">
      <c r="B263" s="104" t="str">
        <f t="shared" si="11"/>
        <v xml:space="preserve">Vyplňte prosím vaše kontaktní údaje a poté klikněte na požadované políčko níže. </v>
      </c>
      <c r="C263">
        <v>135</v>
      </c>
      <c r="O263" s="11" t="s">
        <v>925</v>
      </c>
      <c r="P263" t="s">
        <v>854</v>
      </c>
      <c r="Q263" t="s">
        <v>855</v>
      </c>
      <c r="R263" t="s">
        <v>856</v>
      </c>
      <c r="S263" s="51" t="s">
        <v>1746</v>
      </c>
    </row>
    <row r="264" spans="2:19">
      <c r="B264" s="104" t="str">
        <f t="shared" si="11"/>
        <v>Vyplněním kontaktních údajů vyjadřujete současně souhlas, že jste se seznámil s informacemi uvedenými níže!</v>
      </c>
      <c r="C264">
        <v>136</v>
      </c>
      <c r="O264" s="11" t="s">
        <v>811</v>
      </c>
      <c r="P264" t="s">
        <v>857</v>
      </c>
      <c r="Q264" t="s">
        <v>858</v>
      </c>
      <c r="R264" t="s">
        <v>859</v>
      </c>
      <c r="S264" s="51" t="s">
        <v>1746</v>
      </c>
    </row>
    <row r="265" spans="2:19">
      <c r="B265" s="104" t="str">
        <f t="shared" si="11"/>
        <v>Běžné rámečky</v>
      </c>
      <c r="C265">
        <v>137</v>
      </c>
      <c r="O265" s="11" t="s">
        <v>782</v>
      </c>
      <c r="P265" t="s">
        <v>860</v>
      </c>
      <c r="Q265" t="s">
        <v>861</v>
      </c>
      <c r="R265" t="s">
        <v>862</v>
      </c>
      <c r="S265" s="51" t="s">
        <v>1747</v>
      </c>
    </row>
    <row r="266" spans="2:19">
      <c r="B266" s="104" t="str">
        <f t="shared" si="11"/>
        <v>Posuvné rámečky</v>
      </c>
      <c r="C266">
        <v>138</v>
      </c>
      <c r="O266" s="11" t="s">
        <v>7</v>
      </c>
      <c r="P266" t="s">
        <v>604</v>
      </c>
      <c r="Q266" t="s">
        <v>863</v>
      </c>
      <c r="R266" t="s">
        <v>864</v>
      </c>
      <c r="S266" s="51" t="s">
        <v>1723</v>
      </c>
    </row>
    <row r="267" spans="2:19">
      <c r="B267" s="104" t="str">
        <f t="shared" si="11"/>
        <v>Nákresy profilů a spoj. kování</v>
      </c>
      <c r="C267">
        <v>139</v>
      </c>
      <c r="O267" s="11" t="s">
        <v>783</v>
      </c>
      <c r="P267" t="s">
        <v>865</v>
      </c>
      <c r="Q267" t="s">
        <v>866</v>
      </c>
      <c r="R267" t="s">
        <v>867</v>
      </c>
      <c r="S267" s="51" t="s">
        <v>1748</v>
      </c>
    </row>
    <row r="268" spans="2:19">
      <c r="B268" s="104" t="str">
        <f t="shared" si="11"/>
        <v>Maximální doporučený rozměr rámečku je 2000 x 600 mm (v případě rámečků s nalepeným sklem 1800 x 600 mm)</v>
      </c>
      <c r="C268">
        <v>140</v>
      </c>
      <c r="O268" s="11" t="s">
        <v>785</v>
      </c>
      <c r="P268" t="s">
        <v>868</v>
      </c>
      <c r="Q268" t="s">
        <v>1556</v>
      </c>
      <c r="R268" t="s">
        <v>869</v>
      </c>
      <c r="S268" s="51" t="s">
        <v>1749</v>
      </c>
    </row>
    <row r="269" spans="2:19">
      <c r="B269" s="104" t="str">
        <f t="shared" si="11"/>
        <v xml:space="preserve">Na požadavek zákazníka, je možné dodat rámečky s maximální délkou profilu 3m. Maximální rozměr skla je v tomto případě 2500 x 1300 mm. </v>
      </c>
      <c r="C269">
        <v>141</v>
      </c>
      <c r="O269" s="11" t="s">
        <v>926</v>
      </c>
      <c r="P269" t="s">
        <v>870</v>
      </c>
      <c r="Q269" t="s">
        <v>871</v>
      </c>
      <c r="R269" t="s">
        <v>872</v>
      </c>
      <c r="S269" s="51" t="s">
        <v>1750</v>
      </c>
    </row>
    <row r="270" spans="2:19">
      <c r="B270" s="104" t="str">
        <f t="shared" si="11"/>
        <v>Všechny skla Lacobel a Matelac je možné podlepit bezpečnostní fólií (v případě potřeby uveďte do poznámky)</v>
      </c>
      <c r="C270">
        <v>142</v>
      </c>
      <c r="O270" s="11" t="s">
        <v>786</v>
      </c>
      <c r="P270" t="s">
        <v>873</v>
      </c>
      <c r="Q270" t="s">
        <v>1557</v>
      </c>
      <c r="R270" t="s">
        <v>874</v>
      </c>
      <c r="S270" s="51" t="s">
        <v>1751</v>
      </c>
    </row>
    <row r="271" spans="2:19">
      <c r="B271" s="104" t="str">
        <f t="shared" si="11"/>
        <v xml:space="preserve">Vyplněnou objednávku zašlete na adresu </v>
      </c>
      <c r="C271">
        <v>143</v>
      </c>
      <c r="O271" s="11" t="s">
        <v>787</v>
      </c>
      <c r="P271" t="s">
        <v>875</v>
      </c>
      <c r="Q271" t="s">
        <v>876</v>
      </c>
      <c r="R271" t="s">
        <v>877</v>
      </c>
      <c r="S271" s="51" t="s">
        <v>1752</v>
      </c>
    </row>
    <row r="272" spans="2:19">
      <c r="B272" s="104" t="str">
        <f t="shared" si="11"/>
        <v>objednavky@demos-trade.com</v>
      </c>
      <c r="C272">
        <v>144</v>
      </c>
      <c r="O272" s="73" t="s">
        <v>790</v>
      </c>
      <c r="P272" s="72" t="s">
        <v>790</v>
      </c>
      <c r="Q272" s="72" t="s">
        <v>788</v>
      </c>
      <c r="R272" s="72" t="s">
        <v>789</v>
      </c>
      <c r="S272" s="51" t="s">
        <v>1753</v>
      </c>
    </row>
    <row r="273" spans="2:19">
      <c r="B273" s="104" t="str">
        <f t="shared" si="11"/>
        <v>Nákresy profilů</v>
      </c>
      <c r="C273">
        <v>145</v>
      </c>
      <c r="O273" s="11" t="s">
        <v>791</v>
      </c>
      <c r="P273" t="s">
        <v>878</v>
      </c>
      <c r="Q273" t="s">
        <v>879</v>
      </c>
      <c r="R273" t="s">
        <v>880</v>
      </c>
      <c r="S273" s="51" t="s">
        <v>1754</v>
      </c>
    </row>
    <row r="274" spans="2:19">
      <c r="B274" s="104" t="str">
        <f t="shared" si="11"/>
        <v>Sada kování na úzký rámeček H27AL (88630)</v>
      </c>
      <c r="C274">
        <v>146</v>
      </c>
      <c r="O274" s="11" t="s">
        <v>793</v>
      </c>
      <c r="P274" t="s">
        <v>881</v>
      </c>
      <c r="Q274" t="s">
        <v>882</v>
      </c>
      <c r="R274" t="s">
        <v>883</v>
      </c>
      <c r="S274" s="51" t="s">
        <v>1755</v>
      </c>
    </row>
    <row r="275" spans="2:19">
      <c r="B275" s="104" t="str">
        <f t="shared" si="11"/>
        <v>Sada kování na široký rámeček H37AL (88631)</v>
      </c>
      <c r="C275">
        <v>147</v>
      </c>
      <c r="O275" s="11" t="s">
        <v>794</v>
      </c>
      <c r="P275" t="s">
        <v>884</v>
      </c>
      <c r="Q275" t="s">
        <v>885</v>
      </c>
      <c r="R275" t="s">
        <v>886</v>
      </c>
      <c r="S275" s="51" t="s">
        <v>1756</v>
      </c>
    </row>
    <row r="276" spans="2:19">
      <c r="B276" s="104" t="str">
        <f t="shared" si="11"/>
        <v>Výška rámečku je standardně o 6 mm menší, než uvedená vnitřní výška skříňky.</v>
      </c>
      <c r="C276">
        <v>148</v>
      </c>
      <c r="O276" s="11" t="s">
        <v>792</v>
      </c>
      <c r="P276" t="s">
        <v>887</v>
      </c>
      <c r="Q276" t="s">
        <v>1558</v>
      </c>
      <c r="R276" t="s">
        <v>888</v>
      </c>
      <c r="S276" s="51" t="s">
        <v>1757</v>
      </c>
    </row>
    <row r="277" spans="2:19">
      <c r="B277" s="104" t="str">
        <f t="shared" si="11"/>
        <v>Standardně jsou rámečky připraveny pro posuvné kování H27AL (nosnost 25 kg na rámeček) a H37AL (nosnost 35 kg na rámeček)</v>
      </c>
      <c r="C277">
        <v>149</v>
      </c>
      <c r="O277" s="11" t="s">
        <v>795</v>
      </c>
      <c r="P277" t="s">
        <v>889</v>
      </c>
      <c r="Q277" t="s">
        <v>1559</v>
      </c>
      <c r="R277" t="s">
        <v>890</v>
      </c>
      <c r="S277" s="51" t="s">
        <v>1758</v>
      </c>
    </row>
    <row r="278" spans="2:19">
      <c r="B278" s="104" t="str">
        <f t="shared" si="11"/>
        <v>Horní vedení délka 2 m (87313)</v>
      </c>
      <c r="C278">
        <v>150</v>
      </c>
      <c r="O278" s="11" t="s">
        <v>796</v>
      </c>
      <c r="P278" t="s">
        <v>891</v>
      </c>
      <c r="Q278" t="s">
        <v>892</v>
      </c>
      <c r="R278" t="s">
        <v>893</v>
      </c>
      <c r="S278" s="51" t="s">
        <v>1759</v>
      </c>
    </row>
    <row r="279" spans="2:19">
      <c r="B279" s="104" t="str">
        <f t="shared" si="11"/>
        <v>Spodní vedení délka 2 m (87315)</v>
      </c>
      <c r="C279">
        <v>151</v>
      </c>
      <c r="O279" s="11" t="s">
        <v>798</v>
      </c>
      <c r="P279" t="s">
        <v>894</v>
      </c>
      <c r="Q279" t="s">
        <v>895</v>
      </c>
      <c r="R279" t="s">
        <v>896</v>
      </c>
      <c r="S279" s="51" t="s">
        <v>1760</v>
      </c>
    </row>
    <row r="280" spans="2:19">
      <c r="B280" s="104" t="str">
        <f t="shared" si="11"/>
        <v>Horní vedení délka 3 m (87312)</v>
      </c>
      <c r="C280">
        <v>152</v>
      </c>
      <c r="O280" s="11" t="s">
        <v>797</v>
      </c>
      <c r="P280" t="s">
        <v>897</v>
      </c>
      <c r="Q280" t="s">
        <v>898</v>
      </c>
      <c r="R280" t="s">
        <v>899</v>
      </c>
      <c r="S280" s="51" t="s">
        <v>1761</v>
      </c>
    </row>
    <row r="281" spans="2:19">
      <c r="B281" s="104" t="str">
        <f t="shared" si="11"/>
        <v>Spodní vedení délka 3 m (87314)</v>
      </c>
      <c r="C281">
        <v>153</v>
      </c>
      <c r="O281" s="11" t="s">
        <v>799</v>
      </c>
      <c r="P281" t="s">
        <v>900</v>
      </c>
      <c r="Q281" t="s">
        <v>901</v>
      </c>
      <c r="R281" t="s">
        <v>902</v>
      </c>
      <c r="S281" s="51" t="s">
        <v>1762</v>
      </c>
    </row>
    <row r="282" spans="2:19">
      <c r="B282" s="104" t="str">
        <f t="shared" si="11"/>
        <v>Jiný požadavek (ks)</v>
      </c>
      <c r="C282">
        <v>154</v>
      </c>
      <c r="O282" s="11" t="s">
        <v>806</v>
      </c>
      <c r="P282" t="s">
        <v>903</v>
      </c>
      <c r="Q282" t="s">
        <v>904</v>
      </c>
      <c r="R282" t="s">
        <v>905</v>
      </c>
      <c r="S282" s="51" t="s">
        <v>1763</v>
      </c>
    </row>
    <row r="283" spans="2:19">
      <c r="B283" s="104" t="str">
        <f t="shared" si="11"/>
        <v>Množství (ks)</v>
      </c>
      <c r="C283">
        <v>155</v>
      </c>
      <c r="O283" s="11" t="s">
        <v>810</v>
      </c>
      <c r="P283" t="s">
        <v>906</v>
      </c>
      <c r="Q283" t="s">
        <v>907</v>
      </c>
      <c r="R283" t="s">
        <v>908</v>
      </c>
      <c r="S283" s="51" t="s">
        <v>1764</v>
      </c>
    </row>
    <row r="284" spans="2:19">
      <c r="B284" s="104" t="str">
        <f t="shared" si="11"/>
        <v>K nadrozměrným rámečkům (nad rozměr 1200 x 800 mm), může být účtován příplatek za speciální balení a dopravu (více informací na zákaznickém centru).</v>
      </c>
      <c r="C284">
        <v>156</v>
      </c>
      <c r="O284" s="11" t="s">
        <v>927</v>
      </c>
      <c r="P284" t="s">
        <v>909</v>
      </c>
      <c r="Q284" t="s">
        <v>910</v>
      </c>
      <c r="R284" t="s">
        <v>911</v>
      </c>
      <c r="S284" s="51" t="s">
        <v>1765</v>
      </c>
    </row>
    <row r="285" spans="2:19">
      <c r="B285" s="104" t="str">
        <f t="shared" si="11"/>
        <v xml:space="preserve">Vhodné rozměry rámečku pro konkrétní typ kování je nutné ověřit před zadáním do objednávky (Aventplan, katalog, …), formulář nemá nastaveny omezení. </v>
      </c>
      <c r="C285">
        <v>157</v>
      </c>
      <c r="O285" s="11" t="s">
        <v>812</v>
      </c>
      <c r="P285" t="s">
        <v>912</v>
      </c>
      <c r="Q285" t="s">
        <v>1560</v>
      </c>
      <c r="R285" t="s">
        <v>913</v>
      </c>
      <c r="S285" s="51" t="s">
        <v>1766</v>
      </c>
    </row>
    <row r="286" spans="2:19">
      <c r="B286" s="104" t="str">
        <f t="shared" si="11"/>
        <v>Vzorkovník skel je možné objednat pod kódy Lacebel VZK003P a Matelac VZK004P.</v>
      </c>
      <c r="C286">
        <v>158</v>
      </c>
      <c r="O286" s="11" t="s">
        <v>814</v>
      </c>
      <c r="P286" t="s">
        <v>915</v>
      </c>
      <c r="Q286" t="s">
        <v>914</v>
      </c>
      <c r="R286" t="s">
        <v>916</v>
      </c>
      <c r="S286" s="51" t="s">
        <v>1767</v>
      </c>
    </row>
    <row r="287" spans="2:19">
      <c r="B287" s="104" t="str">
        <f t="shared" si="11"/>
        <v xml:space="preserve">Cena za posuvné rámečky je shodná jako cena za běžné rámečky. </v>
      </c>
      <c r="C287">
        <v>159</v>
      </c>
      <c r="O287" s="11" t="s">
        <v>924</v>
      </c>
      <c r="P287" t="s">
        <v>929</v>
      </c>
      <c r="Q287" t="s">
        <v>928</v>
      </c>
      <c r="R287" t="s">
        <v>933</v>
      </c>
      <c r="S287" s="51" t="s">
        <v>1768</v>
      </c>
    </row>
    <row r="288" spans="2:19">
      <c r="B288" s="104" t="str">
        <f t="shared" si="11"/>
        <v>Pokud je úchytka připevněna skrz sklo, je nutné vždy použít distanční podložku (např. 144516, 191970, C0315)</v>
      </c>
      <c r="C288">
        <v>160</v>
      </c>
      <c r="O288" s="11" t="s">
        <v>1561</v>
      </c>
      <c r="P288" t="s">
        <v>1562</v>
      </c>
      <c r="Q288" t="s">
        <v>1563</v>
      </c>
      <c r="R288" t="s">
        <v>1564</v>
      </c>
      <c r="S288" s="51" t="s">
        <v>1769</v>
      </c>
    </row>
    <row r="289" spans="1:19">
      <c r="B289" s="104" t="str">
        <f t="shared" si="11"/>
        <v>Uvedené nákresy dvířek jsou znázorněny při pohledu z přední strany.</v>
      </c>
      <c r="C289">
        <v>161</v>
      </c>
      <c r="O289" s="11" t="s">
        <v>972</v>
      </c>
      <c r="P289" t="s">
        <v>1280</v>
      </c>
      <c r="Q289" t="s">
        <v>1565</v>
      </c>
      <c r="R289" t="s">
        <v>1545</v>
      </c>
      <c r="S289" s="51" t="s">
        <v>1770</v>
      </c>
    </row>
    <row r="290" spans="1:19">
      <c r="B290" s="104" t="str">
        <f t="shared" si="11"/>
        <v>Nadrozměrný rámeček, může být účtováno vyšší dopravné</v>
      </c>
      <c r="C290">
        <v>162</v>
      </c>
      <c r="O290" s="11" t="s">
        <v>973</v>
      </c>
      <c r="P290" t="s">
        <v>974</v>
      </c>
      <c r="Q290" t="s">
        <v>975</v>
      </c>
      <c r="R290" t="s">
        <v>976</v>
      </c>
      <c r="S290" s="51" t="s">
        <v>1771</v>
      </c>
    </row>
    <row r="291" spans="1:19">
      <c r="B291" s="104" t="str">
        <f t="shared" si="11"/>
        <v>Umístění ramene</v>
      </c>
      <c r="C291">
        <v>163</v>
      </c>
      <c r="O291" s="11" t="s">
        <v>1003</v>
      </c>
      <c r="P291" t="s">
        <v>1281</v>
      </c>
      <c r="Q291" t="s">
        <v>1279</v>
      </c>
      <c r="R291" t="s">
        <v>1282</v>
      </c>
      <c r="S291" s="51" t="s">
        <v>1772</v>
      </c>
    </row>
    <row r="292" spans="1:19">
      <c r="B292" s="104" t="str">
        <f t="shared" si="11"/>
        <v>Maximální možný rozměr rámečku je 2500x1300mm</v>
      </c>
      <c r="C292">
        <v>164</v>
      </c>
      <c r="O292" s="11" t="s">
        <v>1119</v>
      </c>
      <c r="P292" t="s">
        <v>1127</v>
      </c>
      <c r="Q292" t="s">
        <v>1128</v>
      </c>
      <c r="R292" t="s">
        <v>1129</v>
      </c>
      <c r="S292" s="51" t="s">
        <v>1773</v>
      </c>
    </row>
    <row r="293" spans="1:19">
      <c r="B293" s="104" t="str">
        <f t="shared" si="11"/>
        <v>Minimální vzdálenost závěsu od kraje rámečku je 70mm</v>
      </c>
      <c r="C293">
        <v>165</v>
      </c>
      <c r="O293" s="11" t="s">
        <v>1120</v>
      </c>
      <c r="P293" t="s">
        <v>1130</v>
      </c>
      <c r="Q293" t="s">
        <v>1131</v>
      </c>
      <c r="R293" t="s">
        <v>1132</v>
      </c>
      <c r="S293" s="51" t="s">
        <v>1774</v>
      </c>
    </row>
    <row r="294" spans="1:19">
      <c r="B294" s="104" t="str">
        <f t="shared" si="11"/>
        <v>Minimální vzdálenost závěsu od kraje rámečku je 80mm</v>
      </c>
      <c r="C294">
        <v>166</v>
      </c>
      <c r="O294" s="11" t="s">
        <v>1121</v>
      </c>
      <c r="P294" t="s">
        <v>1133</v>
      </c>
      <c r="Q294" t="s">
        <v>1134</v>
      </c>
      <c r="R294" t="s">
        <v>1135</v>
      </c>
      <c r="S294" s="51" t="s">
        <v>1775</v>
      </c>
    </row>
    <row r="295" spans="1:19">
      <c r="A295">
        <v>123517</v>
      </c>
      <c r="B295" s="104" t="str">
        <f t="shared" si="11"/>
        <v>Naložený clip</v>
      </c>
      <c r="C295">
        <v>167</v>
      </c>
      <c r="O295" s="11" t="s">
        <v>94</v>
      </c>
      <c r="P295" t="s">
        <v>94</v>
      </c>
      <c r="Q295" t="s">
        <v>448</v>
      </c>
      <c r="R295" t="s">
        <v>524</v>
      </c>
      <c r="S295" s="51" t="s">
        <v>1654</v>
      </c>
    </row>
    <row r="296" spans="1:19">
      <c r="A296">
        <v>123518</v>
      </c>
      <c r="B296" s="104" t="str">
        <f t="shared" si="11"/>
        <v>Polonaložený clip</v>
      </c>
      <c r="C296">
        <v>168</v>
      </c>
      <c r="O296" s="11" t="s">
        <v>95</v>
      </c>
      <c r="P296" t="s">
        <v>95</v>
      </c>
      <c r="Q296" t="s">
        <v>449</v>
      </c>
      <c r="R296" t="s">
        <v>525</v>
      </c>
      <c r="S296" s="51" t="s">
        <v>1655</v>
      </c>
    </row>
    <row r="297" spans="1:19">
      <c r="A297">
        <v>123519</v>
      </c>
      <c r="B297" s="104" t="str">
        <f t="shared" si="11"/>
        <v>Vložený clip</v>
      </c>
      <c r="C297">
        <v>169</v>
      </c>
      <c r="O297" s="11" t="s">
        <v>96</v>
      </c>
      <c r="P297" t="s">
        <v>96</v>
      </c>
      <c r="Q297" t="s">
        <v>450</v>
      </c>
      <c r="R297" t="s">
        <v>526</v>
      </c>
      <c r="S297" s="51" t="s">
        <v>1656</v>
      </c>
    </row>
    <row r="298" spans="1:19">
      <c r="A298">
        <v>92991</v>
      </c>
      <c r="B298" s="104" t="str">
        <f t="shared" si="11"/>
        <v>Úhel 45°</v>
      </c>
      <c r="C298">
        <v>170</v>
      </c>
      <c r="O298" s="11" t="s">
        <v>97</v>
      </c>
      <c r="P298" t="s">
        <v>389</v>
      </c>
      <c r="Q298" t="s">
        <v>451</v>
      </c>
      <c r="R298" t="s">
        <v>527</v>
      </c>
      <c r="S298" s="51" t="s">
        <v>1657</v>
      </c>
    </row>
    <row r="299" spans="1:19">
      <c r="A299">
        <v>92950</v>
      </c>
      <c r="B299" s="104" t="str">
        <f t="shared" si="11"/>
        <v>Naložený</v>
      </c>
      <c r="C299">
        <v>171</v>
      </c>
      <c r="O299" s="11" t="s">
        <v>98</v>
      </c>
      <c r="P299" t="s">
        <v>390</v>
      </c>
      <c r="Q299" t="s">
        <v>452</v>
      </c>
      <c r="R299" t="s">
        <v>528</v>
      </c>
      <c r="S299" s="51" t="s">
        <v>1658</v>
      </c>
    </row>
    <row r="300" spans="1:19">
      <c r="A300">
        <v>92951</v>
      </c>
      <c r="B300" s="104" t="str">
        <f t="shared" si="11"/>
        <v>Polonaložený</v>
      </c>
      <c r="C300">
        <v>172</v>
      </c>
      <c r="O300" s="11" t="s">
        <v>99</v>
      </c>
      <c r="P300" t="s">
        <v>391</v>
      </c>
      <c r="Q300" t="s">
        <v>453</v>
      </c>
      <c r="R300" t="s">
        <v>529</v>
      </c>
      <c r="S300" s="51" t="s">
        <v>1659</v>
      </c>
    </row>
    <row r="301" spans="1:19">
      <c r="A301">
        <v>92952</v>
      </c>
      <c r="B301" s="104" t="str">
        <f t="shared" si="11"/>
        <v>Vložený</v>
      </c>
      <c r="C301">
        <v>173</v>
      </c>
      <c r="O301" s="11" t="s">
        <v>100</v>
      </c>
      <c r="P301" t="s">
        <v>392</v>
      </c>
      <c r="Q301" t="s">
        <v>454</v>
      </c>
      <c r="R301" t="s">
        <v>530</v>
      </c>
      <c r="S301" s="51" t="s">
        <v>1660</v>
      </c>
    </row>
    <row r="302" spans="1:19">
      <c r="A302">
        <v>92957</v>
      </c>
      <c r="B302" s="104" t="str">
        <f t="shared" si="11"/>
        <v>Úhel 45°</v>
      </c>
      <c r="C302">
        <v>174</v>
      </c>
      <c r="O302" s="11" t="s">
        <v>97</v>
      </c>
      <c r="P302" t="s">
        <v>389</v>
      </c>
      <c r="Q302" t="s">
        <v>451</v>
      </c>
      <c r="R302" t="s">
        <v>527</v>
      </c>
      <c r="S302" s="51" t="s">
        <v>1657</v>
      </c>
    </row>
    <row r="303" spans="1:19">
      <c r="A303">
        <v>93000</v>
      </c>
      <c r="B303" s="104" t="str">
        <f t="shared" si="11"/>
        <v>Naložený s opačnou pružinou</v>
      </c>
      <c r="C303">
        <v>175</v>
      </c>
      <c r="O303" s="11" t="s">
        <v>101</v>
      </c>
      <c r="P303" t="s">
        <v>101</v>
      </c>
      <c r="Q303" t="s">
        <v>455</v>
      </c>
      <c r="R303" t="s">
        <v>531</v>
      </c>
      <c r="S303" s="51" t="s">
        <v>1661</v>
      </c>
    </row>
    <row r="304" spans="1:19">
      <c r="A304">
        <v>93903</v>
      </c>
      <c r="B304" s="104" t="str">
        <f t="shared" si="11"/>
        <v>Vložený s opačnou pružinou</v>
      </c>
      <c r="C304">
        <v>176</v>
      </c>
      <c r="O304" s="11" t="s">
        <v>102</v>
      </c>
      <c r="P304" t="s">
        <v>102</v>
      </c>
      <c r="Q304" t="s">
        <v>456</v>
      </c>
      <c r="R304" t="s">
        <v>532</v>
      </c>
      <c r="S304" s="51" t="s">
        <v>1662</v>
      </c>
    </row>
    <row r="305" spans="1:19">
      <c r="A305">
        <v>92975</v>
      </c>
      <c r="B305" s="104" t="str">
        <f t="shared" si="11"/>
        <v>Clip na vrut H2</v>
      </c>
      <c r="C305">
        <v>177</v>
      </c>
      <c r="O305" s="11" t="s">
        <v>185</v>
      </c>
      <c r="P305" t="s">
        <v>393</v>
      </c>
      <c r="Q305" t="s">
        <v>457</v>
      </c>
      <c r="R305" t="s">
        <v>533</v>
      </c>
      <c r="S305" s="51" t="s">
        <v>1663</v>
      </c>
    </row>
    <row r="306" spans="1:19">
      <c r="A306">
        <v>92961</v>
      </c>
      <c r="B306" s="104" t="str">
        <f t="shared" si="11"/>
        <v>Clip na vrut H4</v>
      </c>
      <c r="C306">
        <v>178</v>
      </c>
      <c r="O306" s="11" t="s">
        <v>186</v>
      </c>
      <c r="P306" t="s">
        <v>394</v>
      </c>
      <c r="Q306" t="s">
        <v>458</v>
      </c>
      <c r="R306" t="s">
        <v>534</v>
      </c>
      <c r="S306" s="51" t="s">
        <v>1664</v>
      </c>
    </row>
    <row r="307" spans="1:19">
      <c r="A307">
        <v>92962</v>
      </c>
      <c r="B307" s="104" t="str">
        <f t="shared" si="11"/>
        <v>Clip na eurošroub H2</v>
      </c>
      <c r="C307">
        <v>179</v>
      </c>
      <c r="O307" s="11" t="s">
        <v>187</v>
      </c>
      <c r="P307" t="s">
        <v>395</v>
      </c>
      <c r="Q307" t="s">
        <v>459</v>
      </c>
      <c r="R307" t="s">
        <v>535</v>
      </c>
      <c r="S307" s="51" t="s">
        <v>1665</v>
      </c>
    </row>
    <row r="308" spans="1:19">
      <c r="A308">
        <v>92969</v>
      </c>
      <c r="B308" s="104" t="str">
        <f t="shared" si="11"/>
        <v>Clip na eurošroub H4</v>
      </c>
      <c r="C308">
        <v>180</v>
      </c>
      <c r="O308" s="11" t="s">
        <v>188</v>
      </c>
      <c r="P308" t="s">
        <v>396</v>
      </c>
      <c r="Q308" t="s">
        <v>460</v>
      </c>
      <c r="R308" t="s">
        <v>536</v>
      </c>
      <c r="S308" s="51" t="s">
        <v>1666</v>
      </c>
    </row>
    <row r="309" spans="1:19">
      <c r="A309">
        <v>92960</v>
      </c>
      <c r="B309" s="104" t="str">
        <f t="shared" si="11"/>
        <v>Slide on na vrut H2</v>
      </c>
      <c r="C309">
        <v>181</v>
      </c>
      <c r="O309" s="11" t="s">
        <v>189</v>
      </c>
      <c r="P309" t="s">
        <v>397</v>
      </c>
      <c r="Q309" t="s">
        <v>461</v>
      </c>
      <c r="R309" t="s">
        <v>537</v>
      </c>
      <c r="S309" s="51" t="s">
        <v>1667</v>
      </c>
    </row>
    <row r="310" spans="1:19">
      <c r="A310">
        <v>92961</v>
      </c>
      <c r="B310" s="104" t="str">
        <f t="shared" si="11"/>
        <v>Slide on na vrut H4</v>
      </c>
      <c r="C310">
        <v>182</v>
      </c>
      <c r="O310" s="11" t="s">
        <v>190</v>
      </c>
      <c r="P310" t="s">
        <v>398</v>
      </c>
      <c r="Q310" t="s">
        <v>462</v>
      </c>
      <c r="R310" t="s">
        <v>538</v>
      </c>
      <c r="S310" s="51" t="s">
        <v>1668</v>
      </c>
    </row>
    <row r="311" spans="1:19">
      <c r="A311">
        <v>92962</v>
      </c>
      <c r="B311" s="104" t="str">
        <f t="shared" si="11"/>
        <v>Slide on na eurošroub H2</v>
      </c>
      <c r="C311">
        <v>183</v>
      </c>
      <c r="O311" s="11" t="s">
        <v>191</v>
      </c>
      <c r="P311" t="s">
        <v>399</v>
      </c>
      <c r="Q311" t="s">
        <v>463</v>
      </c>
      <c r="R311" t="s">
        <v>539</v>
      </c>
      <c r="S311" s="51" t="s">
        <v>1669</v>
      </c>
    </row>
    <row r="312" spans="1:19">
      <c r="A312">
        <v>92963</v>
      </c>
      <c r="B312" s="104" t="str">
        <f t="shared" si="11"/>
        <v>Slide on na eurošroub H4</v>
      </c>
      <c r="C312">
        <v>184</v>
      </c>
      <c r="O312" s="11" t="s">
        <v>192</v>
      </c>
      <c r="P312" t="s">
        <v>400</v>
      </c>
      <c r="Q312" t="s">
        <v>464</v>
      </c>
      <c r="R312" t="s">
        <v>540</v>
      </c>
      <c r="S312" s="51" t="s">
        <v>1670</v>
      </c>
    </row>
    <row r="313" spans="1:19">
      <c r="A313">
        <v>92584</v>
      </c>
      <c r="B313" s="104" t="str">
        <f t="shared" si="11"/>
        <v>Naložený clip</v>
      </c>
      <c r="C313">
        <v>185</v>
      </c>
      <c r="O313" s="11" t="s">
        <v>94</v>
      </c>
      <c r="P313" t="s">
        <v>94</v>
      </c>
      <c r="Q313" t="s">
        <v>448</v>
      </c>
      <c r="R313" t="s">
        <v>524</v>
      </c>
      <c r="S313" s="51" t="s">
        <v>1654</v>
      </c>
    </row>
    <row r="314" spans="1:19">
      <c r="A314">
        <v>92585</v>
      </c>
      <c r="B314" s="104" t="str">
        <f t="shared" si="11"/>
        <v>Polonaložený clip</v>
      </c>
      <c r="C314">
        <v>186</v>
      </c>
      <c r="O314" s="11" t="s">
        <v>95</v>
      </c>
      <c r="P314" t="s">
        <v>95</v>
      </c>
      <c r="Q314" t="s">
        <v>449</v>
      </c>
      <c r="R314" t="s">
        <v>525</v>
      </c>
      <c r="S314" s="51" t="s">
        <v>1655</v>
      </c>
    </row>
    <row r="315" spans="1:19">
      <c r="A315">
        <v>92586</v>
      </c>
      <c r="B315" s="104" t="str">
        <f t="shared" si="11"/>
        <v>Vložený clip</v>
      </c>
      <c r="C315">
        <v>187</v>
      </c>
      <c r="O315" s="11" t="s">
        <v>96</v>
      </c>
      <c r="P315" t="s">
        <v>96</v>
      </c>
      <c r="Q315" t="s">
        <v>450</v>
      </c>
      <c r="R315" t="s">
        <v>526</v>
      </c>
      <c r="S315" s="51" t="s">
        <v>1656</v>
      </c>
    </row>
    <row r="316" spans="1:19">
      <c r="A316">
        <v>92588</v>
      </c>
      <c r="B316" s="104" t="str">
        <f t="shared" si="11"/>
        <v>45° clip</v>
      </c>
      <c r="C316">
        <v>188</v>
      </c>
      <c r="O316" s="11" t="s">
        <v>0</v>
      </c>
      <c r="P316" t="s">
        <v>407</v>
      </c>
      <c r="Q316" t="s">
        <v>0</v>
      </c>
      <c r="R316" t="s">
        <v>0</v>
      </c>
      <c r="S316" s="51" t="s">
        <v>1681</v>
      </c>
    </row>
    <row r="317" spans="1:19">
      <c r="A317">
        <v>92597</v>
      </c>
      <c r="B317" s="104" t="str">
        <f t="shared" si="11"/>
        <v xml:space="preserve">StrongHinges Clip na eurošroub H0 </v>
      </c>
      <c r="C317">
        <v>189</v>
      </c>
      <c r="O317" s="11" t="s">
        <v>3306</v>
      </c>
      <c r="P317" t="s">
        <v>3307</v>
      </c>
      <c r="Q317" t="s">
        <v>3308</v>
      </c>
      <c r="R317" t="s">
        <v>3309</v>
      </c>
      <c r="S317" s="51" t="s">
        <v>3387</v>
      </c>
    </row>
    <row r="318" spans="1:19">
      <c r="A318">
        <v>92596</v>
      </c>
      <c r="B318" s="104" t="str">
        <f t="shared" si="11"/>
        <v>StrongHinges Clip na vrut H0</v>
      </c>
      <c r="C318">
        <v>190</v>
      </c>
      <c r="O318" s="11" t="s">
        <v>3311</v>
      </c>
      <c r="P318" t="s">
        <v>3312</v>
      </c>
      <c r="Q318" t="s">
        <v>3313</v>
      </c>
      <c r="R318" t="s">
        <v>3314</v>
      </c>
      <c r="S318" s="51" t="s">
        <v>3388</v>
      </c>
    </row>
    <row r="319" spans="1:19">
      <c r="A319">
        <v>92599</v>
      </c>
      <c r="B319" s="104" t="str">
        <f t="shared" si="11"/>
        <v>StrongHinges Clip na eurošroub H2</v>
      </c>
      <c r="C319">
        <v>191</v>
      </c>
      <c r="O319" s="11" t="s">
        <v>3316</v>
      </c>
      <c r="P319" t="s">
        <v>3317</v>
      </c>
      <c r="Q319" t="s">
        <v>3318</v>
      </c>
      <c r="R319" t="s">
        <v>3319</v>
      </c>
      <c r="S319" s="51" t="s">
        <v>3389</v>
      </c>
    </row>
    <row r="320" spans="1:19">
      <c r="A320">
        <v>92598</v>
      </c>
      <c r="B320" s="104" t="str">
        <f t="shared" si="11"/>
        <v>StrongHinges Clip na vrut H2</v>
      </c>
      <c r="C320">
        <v>192</v>
      </c>
      <c r="O320" s="11" t="s">
        <v>3321</v>
      </c>
      <c r="P320" t="s">
        <v>3322</v>
      </c>
      <c r="Q320" t="s">
        <v>3323</v>
      </c>
      <c r="R320" t="s">
        <v>3324</v>
      </c>
      <c r="S320" s="51" t="s">
        <v>3390</v>
      </c>
    </row>
    <row r="321" spans="1:19">
      <c r="A321" t="s">
        <v>768</v>
      </c>
      <c r="B321" s="104" t="str">
        <f t="shared" ref="B321:B384" si="12">IF($D$1=1,O:O,IF($D$1=2,P:P,IF($D$1=3,Q:Q,IF($D$1=4,R:R,IF($D$1=5,S:S)))))</f>
        <v>Naložený clip</v>
      </c>
      <c r="C321">
        <v>193</v>
      </c>
      <c r="O321" s="11" t="s">
        <v>94</v>
      </c>
      <c r="P321" t="s">
        <v>94</v>
      </c>
      <c r="Q321" t="s">
        <v>448</v>
      </c>
      <c r="R321" t="s">
        <v>524</v>
      </c>
      <c r="S321" s="51" t="s">
        <v>1654</v>
      </c>
    </row>
    <row r="322" spans="1:19">
      <c r="A322" t="s">
        <v>87</v>
      </c>
      <c r="B322" s="104" t="str">
        <f t="shared" si="12"/>
        <v>Naložený clip</v>
      </c>
      <c r="C322">
        <v>194</v>
      </c>
      <c r="O322" s="11" t="s">
        <v>94</v>
      </c>
      <c r="P322" t="s">
        <v>94</v>
      </c>
      <c r="Q322" t="s">
        <v>448</v>
      </c>
      <c r="R322" t="s">
        <v>524</v>
      </c>
      <c r="S322" s="51" t="s">
        <v>1654</v>
      </c>
    </row>
    <row r="323" spans="1:19">
      <c r="A323" t="s">
        <v>88</v>
      </c>
      <c r="B323" s="104" t="str">
        <f t="shared" si="12"/>
        <v>Polonaložený clip</v>
      </c>
      <c r="C323">
        <v>195</v>
      </c>
      <c r="O323" s="11" t="s">
        <v>95</v>
      </c>
      <c r="P323" t="s">
        <v>95</v>
      </c>
      <c r="Q323" t="s">
        <v>449</v>
      </c>
      <c r="R323" t="s">
        <v>525</v>
      </c>
      <c r="S323" s="51" t="s">
        <v>1655</v>
      </c>
    </row>
    <row r="324" spans="1:19">
      <c r="A324" t="s">
        <v>89</v>
      </c>
      <c r="B324" s="104" t="str">
        <f t="shared" si="12"/>
        <v>Vložený clip</v>
      </c>
      <c r="C324">
        <v>196</v>
      </c>
      <c r="O324" s="11" t="s">
        <v>96</v>
      </c>
      <c r="P324" t="s">
        <v>96</v>
      </c>
      <c r="Q324" t="s">
        <v>450</v>
      </c>
      <c r="R324" t="s">
        <v>526</v>
      </c>
      <c r="S324" s="51" t="s">
        <v>1656</v>
      </c>
    </row>
    <row r="325" spans="1:19">
      <c r="A325" t="s">
        <v>91</v>
      </c>
      <c r="B325" s="104" t="str">
        <f t="shared" si="12"/>
        <v>45° clip</v>
      </c>
      <c r="C325">
        <v>197</v>
      </c>
      <c r="O325" s="11" t="s">
        <v>0</v>
      </c>
      <c r="P325" t="s">
        <v>407</v>
      </c>
      <c r="Q325" t="s">
        <v>0</v>
      </c>
      <c r="R325" t="s">
        <v>0</v>
      </c>
      <c r="S325" s="51" t="s">
        <v>1681</v>
      </c>
    </row>
    <row r="326" spans="1:19">
      <c r="A326" t="s">
        <v>92</v>
      </c>
      <c r="B326" s="104" t="str">
        <f t="shared" si="12"/>
        <v xml:space="preserve">Clip na eurošroub H0 </v>
      </c>
      <c r="C326">
        <v>198</v>
      </c>
      <c r="O326" s="11" t="s">
        <v>184</v>
      </c>
      <c r="P326" t="s">
        <v>408</v>
      </c>
      <c r="Q326" t="s">
        <v>473</v>
      </c>
      <c r="R326" t="s">
        <v>549</v>
      </c>
      <c r="S326" s="51" t="s">
        <v>1682</v>
      </c>
    </row>
    <row r="327" spans="1:19">
      <c r="A327" t="s">
        <v>86</v>
      </c>
      <c r="B327" s="104" t="str">
        <f t="shared" si="12"/>
        <v>Clip na vrut H0</v>
      </c>
      <c r="C327">
        <v>199</v>
      </c>
      <c r="O327" s="11" t="s">
        <v>183</v>
      </c>
      <c r="P327" t="s">
        <v>409</v>
      </c>
      <c r="Q327" t="s">
        <v>474</v>
      </c>
      <c r="R327" t="s">
        <v>550</v>
      </c>
      <c r="S327" s="51" t="s">
        <v>1683</v>
      </c>
    </row>
    <row r="328" spans="1:19">
      <c r="A328" t="s">
        <v>119</v>
      </c>
      <c r="B328" s="104" t="str">
        <f t="shared" si="12"/>
        <v>Clip na eurošroub H2</v>
      </c>
      <c r="C328">
        <v>200</v>
      </c>
      <c r="O328" s="11" t="s">
        <v>187</v>
      </c>
      <c r="P328" t="s">
        <v>395</v>
      </c>
      <c r="Q328" t="s">
        <v>459</v>
      </c>
      <c r="R328" t="s">
        <v>535</v>
      </c>
      <c r="S328" s="51" t="s">
        <v>1665</v>
      </c>
    </row>
    <row r="329" spans="1:19">
      <c r="A329">
        <v>104717</v>
      </c>
      <c r="B329" s="104" t="str">
        <f t="shared" si="12"/>
        <v>Sensys naložený tlumený</v>
      </c>
      <c r="C329">
        <v>201</v>
      </c>
      <c r="O329" s="11" t="s">
        <v>991</v>
      </c>
      <c r="P329" t="s">
        <v>1136</v>
      </c>
      <c r="Q329" t="s">
        <v>1137</v>
      </c>
      <c r="R329" t="s">
        <v>1138</v>
      </c>
      <c r="S329" s="51" t="s">
        <v>1776</v>
      </c>
    </row>
    <row r="330" spans="1:19">
      <c r="A330">
        <v>104718</v>
      </c>
      <c r="B330" s="104" t="str">
        <f t="shared" si="12"/>
        <v>Sensys polonaložený tlumený</v>
      </c>
      <c r="C330">
        <v>202</v>
      </c>
      <c r="O330" s="11" t="s">
        <v>992</v>
      </c>
      <c r="P330" t="s">
        <v>1139</v>
      </c>
      <c r="Q330" t="s">
        <v>1140</v>
      </c>
      <c r="R330" t="s">
        <v>1141</v>
      </c>
      <c r="S330" s="51" t="s">
        <v>1777</v>
      </c>
    </row>
    <row r="331" spans="1:19">
      <c r="A331">
        <v>104719</v>
      </c>
      <c r="B331" s="104" t="str">
        <f t="shared" si="12"/>
        <v>Sensys vložený tlumený</v>
      </c>
      <c r="C331">
        <v>203</v>
      </c>
      <c r="O331" s="11" t="s">
        <v>993</v>
      </c>
      <c r="P331" t="s">
        <v>1142</v>
      </c>
      <c r="Q331" t="s">
        <v>1143</v>
      </c>
      <c r="R331" t="s">
        <v>1144</v>
      </c>
      <c r="S331" s="51" t="s">
        <v>1778</v>
      </c>
    </row>
    <row r="332" spans="1:19">
      <c r="A332">
        <v>104802</v>
      </c>
      <c r="B332" s="104" t="str">
        <f t="shared" si="12"/>
        <v>Sensys příložný tlumený</v>
      </c>
      <c r="C332">
        <v>204</v>
      </c>
      <c r="O332" s="11" t="s">
        <v>994</v>
      </c>
      <c r="P332" t="s">
        <v>1145</v>
      </c>
      <c r="Q332" t="s">
        <v>1146</v>
      </c>
      <c r="R332" t="s">
        <v>1147</v>
      </c>
      <c r="S332" s="51" t="s">
        <v>1779</v>
      </c>
    </row>
    <row r="333" spans="1:19">
      <c r="A333">
        <v>232346</v>
      </c>
      <c r="B333" s="104" t="str">
        <f t="shared" si="12"/>
        <v>Sensys naložený netlumený</v>
      </c>
      <c r="C333">
        <v>205</v>
      </c>
      <c r="O333" s="11" t="s">
        <v>995</v>
      </c>
      <c r="P333" t="s">
        <v>1148</v>
      </c>
      <c r="Q333" t="s">
        <v>1149</v>
      </c>
      <c r="R333" t="s">
        <v>1150</v>
      </c>
      <c r="S333" s="51" t="s">
        <v>1780</v>
      </c>
    </row>
    <row r="334" spans="1:19">
      <c r="A334">
        <v>104189</v>
      </c>
      <c r="B334" s="104" t="str">
        <f t="shared" si="12"/>
        <v>Intermat naložený</v>
      </c>
      <c r="C334">
        <v>206</v>
      </c>
      <c r="O334" s="11" t="s">
        <v>996</v>
      </c>
      <c r="P334" t="s">
        <v>996</v>
      </c>
      <c r="Q334" t="s">
        <v>1151</v>
      </c>
      <c r="R334" t="s">
        <v>1152</v>
      </c>
      <c r="S334" s="51" t="s">
        <v>1781</v>
      </c>
    </row>
    <row r="335" spans="1:19">
      <c r="A335">
        <v>104257</v>
      </c>
      <c r="B335" s="104" t="str">
        <f t="shared" si="12"/>
        <v>Intermat naložený 125°</v>
      </c>
      <c r="C335">
        <v>207</v>
      </c>
      <c r="O335" s="11" t="s">
        <v>997</v>
      </c>
      <c r="P335" t="s">
        <v>997</v>
      </c>
      <c r="Q335" t="s">
        <v>1153</v>
      </c>
      <c r="R335" t="s">
        <v>1154</v>
      </c>
      <c r="S335" s="51" t="s">
        <v>1782</v>
      </c>
    </row>
    <row r="336" spans="1:19">
      <c r="A336">
        <v>104190</v>
      </c>
      <c r="B336" s="104" t="str">
        <f t="shared" si="12"/>
        <v>Intermat polonaložený</v>
      </c>
      <c r="C336">
        <v>208</v>
      </c>
      <c r="O336" s="11" t="s">
        <v>998</v>
      </c>
      <c r="P336" t="s">
        <v>998</v>
      </c>
      <c r="Q336" t="s">
        <v>1155</v>
      </c>
      <c r="R336" t="s">
        <v>1156</v>
      </c>
      <c r="S336" s="51" t="s">
        <v>1783</v>
      </c>
    </row>
    <row r="337" spans="1:19">
      <c r="A337">
        <v>104191</v>
      </c>
      <c r="B337" s="104" t="str">
        <f t="shared" si="12"/>
        <v>Intermat vložený</v>
      </c>
      <c r="C337">
        <v>209</v>
      </c>
      <c r="O337" s="11" t="s">
        <v>999</v>
      </c>
      <c r="P337" t="s">
        <v>999</v>
      </c>
      <c r="Q337" t="s">
        <v>1157</v>
      </c>
      <c r="R337" t="s">
        <v>1158</v>
      </c>
      <c r="S337" s="51" t="s">
        <v>1784</v>
      </c>
    </row>
    <row r="338" spans="1:19">
      <c r="A338">
        <v>104574</v>
      </c>
      <c r="B338" s="104" t="str">
        <f t="shared" si="12"/>
        <v>Intermat příložný</v>
      </c>
      <c r="C338">
        <v>210</v>
      </c>
      <c r="O338" s="11" t="s">
        <v>1000</v>
      </c>
      <c r="P338" t="s">
        <v>1159</v>
      </c>
      <c r="Q338" t="s">
        <v>1160</v>
      </c>
      <c r="R338" t="s">
        <v>1161</v>
      </c>
      <c r="S338" s="51" t="s">
        <v>1785</v>
      </c>
    </row>
    <row r="339" spans="1:19">
      <c r="A339">
        <v>300282</v>
      </c>
      <c r="B339" s="104" t="str">
        <f t="shared" si="12"/>
        <v>Sensys naložený bez tlumení</v>
      </c>
      <c r="C339">
        <v>211</v>
      </c>
      <c r="O339" s="11" t="s">
        <v>1019</v>
      </c>
      <c r="P339" t="s">
        <v>1162</v>
      </c>
      <c r="Q339" t="s">
        <v>1149</v>
      </c>
      <c r="R339" t="s">
        <v>1150</v>
      </c>
      <c r="S339" s="51" t="s">
        <v>1780</v>
      </c>
    </row>
    <row r="340" spans="1:19">
      <c r="A340">
        <v>300284</v>
      </c>
      <c r="B340" s="104" t="str">
        <f t="shared" si="12"/>
        <v>Sensys vložený bez tlumení</v>
      </c>
      <c r="C340">
        <v>212</v>
      </c>
      <c r="O340" s="11" t="s">
        <v>1020</v>
      </c>
      <c r="P340" t="s">
        <v>1163</v>
      </c>
      <c r="Q340" t="s">
        <v>1164</v>
      </c>
      <c r="R340" t="s">
        <v>1165</v>
      </c>
      <c r="S340" s="51" t="s">
        <v>1786</v>
      </c>
    </row>
    <row r="341" spans="1:19">
      <c r="A341">
        <v>300279</v>
      </c>
      <c r="B341" s="104" t="str">
        <f t="shared" si="12"/>
        <v>Sensys naložený tlumený</v>
      </c>
      <c r="C341">
        <v>213</v>
      </c>
      <c r="O341" s="11" t="s">
        <v>991</v>
      </c>
      <c r="P341" t="s">
        <v>1136</v>
      </c>
      <c r="Q341" t="s">
        <v>1137</v>
      </c>
      <c r="R341" t="s">
        <v>1138</v>
      </c>
      <c r="S341" s="51" t="s">
        <v>1776</v>
      </c>
    </row>
    <row r="342" spans="1:19">
      <c r="A342">
        <v>300281</v>
      </c>
      <c r="B342" s="104" t="str">
        <f t="shared" si="12"/>
        <v>Sensys vložený tlumený</v>
      </c>
      <c r="C342">
        <v>214</v>
      </c>
      <c r="O342" s="11" t="s">
        <v>993</v>
      </c>
      <c r="P342" t="s">
        <v>1142</v>
      </c>
      <c r="Q342" t="s">
        <v>1143</v>
      </c>
      <c r="R342" t="s">
        <v>1144</v>
      </c>
      <c r="S342" s="51" t="s">
        <v>1778</v>
      </c>
    </row>
    <row r="343" spans="1:19">
      <c r="A343">
        <v>300801</v>
      </c>
      <c r="B343" s="104" t="str">
        <f t="shared" si="12"/>
        <v>Intermat naložený</v>
      </c>
      <c r="C343">
        <v>215</v>
      </c>
      <c r="O343" s="11" t="s">
        <v>996</v>
      </c>
      <c r="P343" t="s">
        <v>996</v>
      </c>
      <c r="Q343" t="s">
        <v>1151</v>
      </c>
      <c r="R343" t="s">
        <v>1152</v>
      </c>
      <c r="S343" s="51" t="s">
        <v>1781</v>
      </c>
    </row>
    <row r="344" spans="1:19">
      <c r="A344">
        <v>300803</v>
      </c>
      <c r="B344" s="104" t="str">
        <f t="shared" si="12"/>
        <v>Intermat vložený</v>
      </c>
      <c r="C344">
        <v>216</v>
      </c>
      <c r="O344" s="11" t="s">
        <v>999</v>
      </c>
      <c r="P344" t="s">
        <v>999</v>
      </c>
      <c r="Q344" t="s">
        <v>1157</v>
      </c>
      <c r="R344" t="s">
        <v>1158</v>
      </c>
      <c r="S344" s="51" t="s">
        <v>1784</v>
      </c>
    </row>
    <row r="345" spans="1:19">
      <c r="A345">
        <v>106403</v>
      </c>
      <c r="B345" s="104" t="str">
        <f t="shared" si="12"/>
        <v>podložka na vrut</v>
      </c>
      <c r="C345">
        <v>217</v>
      </c>
      <c r="O345" s="11" t="s">
        <v>1116</v>
      </c>
      <c r="P345" t="s">
        <v>1116</v>
      </c>
      <c r="Q345" t="s">
        <v>1166</v>
      </c>
      <c r="R345" t="s">
        <v>1167</v>
      </c>
      <c r="S345" s="51" t="s">
        <v>1787</v>
      </c>
    </row>
    <row r="346" spans="1:19">
      <c r="A346">
        <v>119240</v>
      </c>
      <c r="B346" s="104" t="str">
        <f t="shared" si="12"/>
        <v>podložka na Eurovrut</v>
      </c>
      <c r="C346">
        <v>218</v>
      </c>
      <c r="O346" s="11" t="s">
        <v>1001</v>
      </c>
      <c r="P346" t="s">
        <v>1001</v>
      </c>
      <c r="Q346" t="s">
        <v>1168</v>
      </c>
      <c r="R346" t="s">
        <v>1169</v>
      </c>
      <c r="S346" s="51" t="s">
        <v>1788</v>
      </c>
    </row>
    <row r="347" spans="1:19">
      <c r="A347">
        <v>136276</v>
      </c>
      <c r="B347" s="104" t="str">
        <f t="shared" si="12"/>
        <v>podložka na rozpěrnou hmoždinku</v>
      </c>
      <c r="C347">
        <v>219</v>
      </c>
      <c r="O347" s="11" t="s">
        <v>1002</v>
      </c>
      <c r="P347" t="s">
        <v>1170</v>
      </c>
      <c r="Q347" t="s">
        <v>1171</v>
      </c>
      <c r="R347" t="s">
        <v>1172</v>
      </c>
      <c r="S347" s="51" t="s">
        <v>1789</v>
      </c>
    </row>
    <row r="348" spans="1:19">
      <c r="A348">
        <v>12002</v>
      </c>
      <c r="B348" s="104" t="str">
        <f t="shared" si="12"/>
        <v>naložený clip</v>
      </c>
      <c r="C348">
        <v>220</v>
      </c>
      <c r="O348" s="11" t="s">
        <v>1117</v>
      </c>
      <c r="P348" t="s">
        <v>94</v>
      </c>
      <c r="Q348" t="s">
        <v>448</v>
      </c>
      <c r="R348" t="s">
        <v>524</v>
      </c>
      <c r="S348" s="51" t="s">
        <v>1654</v>
      </c>
    </row>
    <row r="349" spans="1:19">
      <c r="A349">
        <v>12005</v>
      </c>
      <c r="B349" s="104" t="str">
        <f t="shared" si="12"/>
        <v>polonaložený clip</v>
      </c>
      <c r="C349">
        <v>221</v>
      </c>
      <c r="O349" s="11" t="s">
        <v>1118</v>
      </c>
      <c r="P349" t="s">
        <v>95</v>
      </c>
      <c r="Q349" t="s">
        <v>449</v>
      </c>
      <c r="R349" t="s">
        <v>525</v>
      </c>
      <c r="S349" s="51" t="s">
        <v>1655</v>
      </c>
    </row>
    <row r="350" spans="1:19">
      <c r="A350">
        <v>12008</v>
      </c>
      <c r="B350" s="104" t="str">
        <f t="shared" si="12"/>
        <v>Vložený clip</v>
      </c>
      <c r="C350">
        <v>222</v>
      </c>
      <c r="O350" s="11" t="s">
        <v>96</v>
      </c>
      <c r="P350" t="s">
        <v>96</v>
      </c>
      <c r="Q350" t="s">
        <v>450</v>
      </c>
      <c r="R350" t="s">
        <v>526</v>
      </c>
      <c r="S350" s="51" t="s">
        <v>1656</v>
      </c>
    </row>
    <row r="351" spans="1:19">
      <c r="A351">
        <v>12047</v>
      </c>
      <c r="B351" s="104" t="str">
        <f t="shared" si="12"/>
        <v>naložený s tlumením clip 110°</v>
      </c>
      <c r="C351">
        <v>223</v>
      </c>
      <c r="O351" s="11" t="s">
        <v>1005</v>
      </c>
      <c r="P351" t="s">
        <v>1173</v>
      </c>
      <c r="Q351" t="s">
        <v>1174</v>
      </c>
      <c r="R351" t="s">
        <v>1420</v>
      </c>
      <c r="S351" s="51" t="s">
        <v>1790</v>
      </c>
    </row>
    <row r="352" spans="1:19">
      <c r="A352">
        <v>12048</v>
      </c>
      <c r="B352" s="104" t="str">
        <f t="shared" si="12"/>
        <v>polonaložený s tlumením clip 110°</v>
      </c>
      <c r="C352">
        <v>224</v>
      </c>
      <c r="O352" s="11" t="s">
        <v>1006</v>
      </c>
      <c r="P352" t="s">
        <v>1175</v>
      </c>
      <c r="Q352" t="s">
        <v>1176</v>
      </c>
      <c r="R352" t="s">
        <v>1421</v>
      </c>
      <c r="S352" s="51" t="s">
        <v>1791</v>
      </c>
    </row>
    <row r="353" spans="1:19">
      <c r="A353">
        <v>12049</v>
      </c>
      <c r="B353" s="104" t="str">
        <f t="shared" si="12"/>
        <v>vložený s tlumením clip 110°</v>
      </c>
      <c r="C353">
        <v>225</v>
      </c>
      <c r="O353" s="11" t="s">
        <v>1007</v>
      </c>
      <c r="P353" t="s">
        <v>1177</v>
      </c>
      <c r="Q353" t="s">
        <v>1178</v>
      </c>
      <c r="R353" t="s">
        <v>1442</v>
      </c>
      <c r="S353" s="51" t="s">
        <v>1792</v>
      </c>
    </row>
    <row r="354" spans="1:19">
      <c r="A354">
        <v>12052</v>
      </c>
      <c r="B354" s="104" t="str">
        <f t="shared" si="12"/>
        <v>naložený bez tlumení clip 110°</v>
      </c>
      <c r="C354">
        <v>226</v>
      </c>
      <c r="O354" s="11" t="s">
        <v>1008</v>
      </c>
      <c r="P354" t="s">
        <v>1179</v>
      </c>
      <c r="Q354" t="s">
        <v>1180</v>
      </c>
      <c r="R354" t="s">
        <v>1422</v>
      </c>
      <c r="S354" s="51" t="s">
        <v>1793</v>
      </c>
    </row>
    <row r="355" spans="1:19">
      <c r="A355">
        <v>12053</v>
      </c>
      <c r="B355" s="104" t="str">
        <f t="shared" si="12"/>
        <v>polonaložený bez tlumení clip 110°</v>
      </c>
      <c r="C355">
        <v>227</v>
      </c>
      <c r="O355" s="11" t="s">
        <v>1009</v>
      </c>
      <c r="P355" t="s">
        <v>1181</v>
      </c>
      <c r="Q355" t="s">
        <v>1182</v>
      </c>
      <c r="R355" t="s">
        <v>1423</v>
      </c>
      <c r="S355" s="51" t="s">
        <v>1794</v>
      </c>
    </row>
    <row r="356" spans="1:19">
      <c r="A356">
        <v>12059</v>
      </c>
      <c r="B356" s="104" t="str">
        <f t="shared" si="12"/>
        <v>vložený bez tlumení clip 110°</v>
      </c>
      <c r="C356">
        <v>228</v>
      </c>
      <c r="O356" s="11" t="s">
        <v>1010</v>
      </c>
      <c r="P356" t="s">
        <v>1183</v>
      </c>
      <c r="Q356" t="s">
        <v>1184</v>
      </c>
      <c r="R356" t="s">
        <v>1443</v>
      </c>
      <c r="S356" s="51" t="s">
        <v>1795</v>
      </c>
    </row>
    <row r="357" spans="1:19">
      <c r="A357">
        <v>226668</v>
      </c>
      <c r="B357" s="104" t="str">
        <f t="shared" si="12"/>
        <v>naložený TIP-ON clip 110°</v>
      </c>
      <c r="C357">
        <v>229</v>
      </c>
      <c r="O357" s="11" t="s">
        <v>1011</v>
      </c>
      <c r="P357" t="s">
        <v>1011</v>
      </c>
      <c r="Q357" t="s">
        <v>1185</v>
      </c>
      <c r="R357" t="s">
        <v>1424</v>
      </c>
      <c r="S357" s="51" t="s">
        <v>1796</v>
      </c>
    </row>
    <row r="358" spans="1:19">
      <c r="A358">
        <v>226670</v>
      </c>
      <c r="B358" s="104" t="str">
        <f t="shared" si="12"/>
        <v>polonaložený TIP-ON clip 110°</v>
      </c>
      <c r="C358">
        <v>230</v>
      </c>
      <c r="O358" s="11" t="s">
        <v>1012</v>
      </c>
      <c r="P358" t="s">
        <v>1012</v>
      </c>
      <c r="Q358" t="s">
        <v>1186</v>
      </c>
      <c r="R358" t="s">
        <v>1425</v>
      </c>
      <c r="S358" s="51" t="s">
        <v>1797</v>
      </c>
    </row>
    <row r="359" spans="1:19">
      <c r="A359">
        <v>226671</v>
      </c>
      <c r="B359" s="104" t="str">
        <f t="shared" si="12"/>
        <v>vložený TIP-ON clip 110°</v>
      </c>
      <c r="C359">
        <v>231</v>
      </c>
      <c r="O359" s="11" t="s">
        <v>1013</v>
      </c>
      <c r="P359" t="s">
        <v>1013</v>
      </c>
      <c r="Q359" t="s">
        <v>1187</v>
      </c>
      <c r="R359" t="s">
        <v>1444</v>
      </c>
      <c r="S359" s="51" t="s">
        <v>1798</v>
      </c>
    </row>
    <row r="360" spans="1:19">
      <c r="A360">
        <v>12106</v>
      </c>
      <c r="B360" s="104" t="str">
        <f t="shared" si="12"/>
        <v>naložený clip</v>
      </c>
      <c r="C360">
        <v>232</v>
      </c>
      <c r="O360" s="11" t="s">
        <v>1117</v>
      </c>
      <c r="P360" t="s">
        <v>94</v>
      </c>
      <c r="Q360" t="s">
        <v>448</v>
      </c>
      <c r="R360" t="s">
        <v>524</v>
      </c>
      <c r="S360" s="51" t="s">
        <v>1654</v>
      </c>
    </row>
    <row r="361" spans="1:19">
      <c r="A361">
        <v>12107</v>
      </c>
      <c r="B361" s="104" t="str">
        <f t="shared" si="12"/>
        <v>polonaložený clip</v>
      </c>
      <c r="C361">
        <v>233</v>
      </c>
      <c r="O361" s="11" t="s">
        <v>1118</v>
      </c>
      <c r="P361" t="s">
        <v>95</v>
      </c>
      <c r="Q361" t="s">
        <v>449</v>
      </c>
      <c r="R361" t="s">
        <v>525</v>
      </c>
      <c r="S361" s="51" t="s">
        <v>1655</v>
      </c>
    </row>
    <row r="362" spans="1:19">
      <c r="A362">
        <v>12108</v>
      </c>
      <c r="B362" s="104" t="str">
        <f t="shared" si="12"/>
        <v>Vložený clip</v>
      </c>
      <c r="C362">
        <v>234</v>
      </c>
      <c r="O362" s="11" t="s">
        <v>96</v>
      </c>
      <c r="P362" t="s">
        <v>96</v>
      </c>
      <c r="Q362" t="s">
        <v>450</v>
      </c>
      <c r="R362" t="s">
        <v>526</v>
      </c>
      <c r="S362" s="51" t="s">
        <v>1656</v>
      </c>
    </row>
    <row r="363" spans="1:19">
      <c r="A363">
        <v>118033</v>
      </c>
      <c r="B363" s="104" t="str">
        <f t="shared" si="12"/>
        <v>naložený s tlumením clip 95°</v>
      </c>
      <c r="C363">
        <v>235</v>
      </c>
      <c r="O363" s="11" t="s">
        <v>1014</v>
      </c>
      <c r="P363" t="s">
        <v>1188</v>
      </c>
      <c r="Q363" t="s">
        <v>1189</v>
      </c>
      <c r="R363" t="s">
        <v>1426</v>
      </c>
      <c r="S363" s="51" t="s">
        <v>1799</v>
      </c>
    </row>
    <row r="364" spans="1:19">
      <c r="A364">
        <v>118120</v>
      </c>
      <c r="B364" s="104" t="str">
        <f t="shared" si="12"/>
        <v>polonaložený s tlumením clip 95°</v>
      </c>
      <c r="C364">
        <v>236</v>
      </c>
      <c r="O364" s="11" t="s">
        <v>1015</v>
      </c>
      <c r="P364" t="s">
        <v>1190</v>
      </c>
      <c r="Q364" t="s">
        <v>1191</v>
      </c>
      <c r="R364" t="s">
        <v>1427</v>
      </c>
      <c r="S364" s="51" t="s">
        <v>1800</v>
      </c>
    </row>
    <row r="365" spans="1:19">
      <c r="A365">
        <v>118121</v>
      </c>
      <c r="B365" s="104" t="str">
        <f t="shared" si="12"/>
        <v>vložený s tlumením clip 95°</v>
      </c>
      <c r="C365">
        <v>237</v>
      </c>
      <c r="O365" s="11" t="s">
        <v>1016</v>
      </c>
      <c r="P365" t="s">
        <v>1192</v>
      </c>
      <c r="Q365" t="s">
        <v>1193</v>
      </c>
      <c r="R365" t="s">
        <v>1445</v>
      </c>
      <c r="S365" s="51" t="s">
        <v>1801</v>
      </c>
    </row>
    <row r="366" spans="1:19">
      <c r="A366">
        <v>12109</v>
      </c>
      <c r="B366" s="104" t="str">
        <f t="shared" si="12"/>
        <v>naložený TIP-ON clip 95°</v>
      </c>
      <c r="C366">
        <v>238</v>
      </c>
      <c r="O366" s="11" t="s">
        <v>1017</v>
      </c>
      <c r="P366" t="s">
        <v>1017</v>
      </c>
      <c r="Q366" t="s">
        <v>1194</v>
      </c>
      <c r="R366" t="s">
        <v>1428</v>
      </c>
      <c r="S366" s="51" t="s">
        <v>1802</v>
      </c>
    </row>
    <row r="367" spans="1:19">
      <c r="A367">
        <v>13764</v>
      </c>
      <c r="B367" s="104" t="str">
        <f t="shared" si="12"/>
        <v>naložený TIP-ON clip 120°</v>
      </c>
      <c r="C367">
        <v>239</v>
      </c>
      <c r="O367" s="11" t="s">
        <v>1018</v>
      </c>
      <c r="P367" t="s">
        <v>1018</v>
      </c>
      <c r="Q367" t="s">
        <v>1195</v>
      </c>
      <c r="R367" t="s">
        <v>1429</v>
      </c>
      <c r="S367" s="51" t="s">
        <v>1803</v>
      </c>
    </row>
    <row r="368" spans="1:19">
      <c r="A368">
        <v>12318</v>
      </c>
      <c r="B368" s="104" t="str">
        <f t="shared" si="12"/>
        <v>Clip na eurošroub</v>
      </c>
      <c r="C368">
        <v>240</v>
      </c>
      <c r="O368" s="11" t="s">
        <v>181</v>
      </c>
      <c r="P368" t="s">
        <v>404</v>
      </c>
      <c r="Q368" t="s">
        <v>470</v>
      </c>
      <c r="R368" t="s">
        <v>546</v>
      </c>
      <c r="S368" s="51" t="s">
        <v>1678</v>
      </c>
    </row>
    <row r="369" spans="1:19">
      <c r="A369">
        <v>12306</v>
      </c>
      <c r="B369" s="104" t="str">
        <f t="shared" si="12"/>
        <v>Clip na vrut</v>
      </c>
      <c r="C369">
        <v>241</v>
      </c>
      <c r="O369" s="11" t="s">
        <v>180</v>
      </c>
      <c r="P369" t="s">
        <v>405</v>
      </c>
      <c r="Q369" t="s">
        <v>471</v>
      </c>
      <c r="R369" t="s">
        <v>547</v>
      </c>
      <c r="S369" s="51" t="s">
        <v>1679</v>
      </c>
    </row>
    <row r="370" spans="1:19">
      <c r="A370">
        <v>12319</v>
      </c>
      <c r="B370" s="104" t="str">
        <f t="shared" si="12"/>
        <v xml:space="preserve">Zvýšená o 6 mm </v>
      </c>
      <c r="C370">
        <v>242</v>
      </c>
      <c r="O370" s="11" t="s">
        <v>182</v>
      </c>
      <c r="P370" t="s">
        <v>406</v>
      </c>
      <c r="Q370" t="s">
        <v>472</v>
      </c>
      <c r="R370" t="s">
        <v>548</v>
      </c>
      <c r="S370" s="51" t="s">
        <v>1680</v>
      </c>
    </row>
    <row r="371" spans="1:19">
      <c r="A371">
        <v>92580</v>
      </c>
      <c r="B371" s="104" t="str">
        <f t="shared" si="12"/>
        <v>naložený k nasunutí</v>
      </c>
      <c r="C371">
        <v>243</v>
      </c>
      <c r="O371" t="s">
        <v>1105</v>
      </c>
      <c r="P371" t="s">
        <v>1196</v>
      </c>
      <c r="Q371" t="s">
        <v>1197</v>
      </c>
      <c r="R371" t="s">
        <v>1198</v>
      </c>
      <c r="S371" s="51" t="s">
        <v>1804</v>
      </c>
    </row>
    <row r="372" spans="1:19">
      <c r="A372">
        <v>92582</v>
      </c>
      <c r="B372" s="104" t="str">
        <f t="shared" si="12"/>
        <v>polonaložený k nasunutí</v>
      </c>
      <c r="C372">
        <v>244</v>
      </c>
      <c r="O372" t="s">
        <v>1106</v>
      </c>
      <c r="P372" t="s">
        <v>1199</v>
      </c>
      <c r="Q372" t="s">
        <v>1200</v>
      </c>
      <c r="R372" t="s">
        <v>1201</v>
      </c>
      <c r="S372" s="51" t="s">
        <v>1805</v>
      </c>
    </row>
    <row r="373" spans="1:19">
      <c r="A373">
        <v>92583</v>
      </c>
      <c r="B373" s="104" t="str">
        <f t="shared" si="12"/>
        <v>vložený k nasunutí</v>
      </c>
      <c r="C373">
        <v>245</v>
      </c>
      <c r="O373" t="s">
        <v>1107</v>
      </c>
      <c r="P373" t="s">
        <v>1202</v>
      </c>
      <c r="Q373" t="s">
        <v>1203</v>
      </c>
      <c r="R373" t="s">
        <v>1204</v>
      </c>
      <c r="S373" s="51" t="s">
        <v>1806</v>
      </c>
    </row>
    <row r="374" spans="1:19">
      <c r="A374" t="s">
        <v>1022</v>
      </c>
      <c r="B374" s="104" t="str">
        <f t="shared" si="12"/>
        <v>STRONG 30N bílý Automatický</v>
      </c>
      <c r="C374">
        <v>246</v>
      </c>
      <c r="O374" t="s">
        <v>1023</v>
      </c>
      <c r="P374" t="s">
        <v>1205</v>
      </c>
      <c r="Q374" t="s">
        <v>1206</v>
      </c>
      <c r="R374" t="s">
        <v>1207</v>
      </c>
      <c r="S374" s="51" t="s">
        <v>1807</v>
      </c>
    </row>
    <row r="375" spans="1:19">
      <c r="A375" t="s">
        <v>1024</v>
      </c>
      <c r="B375" s="104" t="str">
        <f t="shared" si="12"/>
        <v>STRONG 60N bílý Automatický</v>
      </c>
      <c r="C375">
        <v>247</v>
      </c>
      <c r="O375" t="s">
        <v>1025</v>
      </c>
      <c r="P375" t="s">
        <v>1208</v>
      </c>
      <c r="Q375" t="s">
        <v>1209</v>
      </c>
      <c r="R375" t="s">
        <v>1210</v>
      </c>
      <c r="S375" s="51" t="s">
        <v>1808</v>
      </c>
    </row>
    <row r="376" spans="1:19">
      <c r="A376" t="s">
        <v>1026</v>
      </c>
      <c r="B376" s="104" t="str">
        <f t="shared" si="12"/>
        <v>STRONG 80N bílý Automatický</v>
      </c>
      <c r="C376">
        <v>248</v>
      </c>
      <c r="O376" t="s">
        <v>1027</v>
      </c>
      <c r="P376" t="s">
        <v>1211</v>
      </c>
      <c r="Q376" t="s">
        <v>1212</v>
      </c>
      <c r="R376" t="s">
        <v>1213</v>
      </c>
      <c r="S376" s="51" t="s">
        <v>1809</v>
      </c>
    </row>
    <row r="377" spans="1:19">
      <c r="A377" t="s">
        <v>1028</v>
      </c>
      <c r="B377" s="104" t="str">
        <f t="shared" si="12"/>
        <v>STRONG 100N bílý Automatický</v>
      </c>
      <c r="C377">
        <v>249</v>
      </c>
      <c r="O377" t="s">
        <v>1029</v>
      </c>
      <c r="P377" t="s">
        <v>1214</v>
      </c>
      <c r="Q377" t="s">
        <v>1215</v>
      </c>
      <c r="R377" t="s">
        <v>1216</v>
      </c>
      <c r="S377" s="51" t="s">
        <v>1810</v>
      </c>
    </row>
    <row r="378" spans="1:19">
      <c r="A378" t="s">
        <v>1030</v>
      </c>
      <c r="B378" s="104" t="str">
        <f t="shared" si="12"/>
        <v>STRONG 120N bílý Automatický</v>
      </c>
      <c r="C378">
        <v>250</v>
      </c>
      <c r="O378" t="s">
        <v>1031</v>
      </c>
      <c r="P378" t="s">
        <v>1217</v>
      </c>
      <c r="Q378" t="s">
        <v>1218</v>
      </c>
      <c r="R378" t="s">
        <v>1219</v>
      </c>
      <c r="S378" s="51" t="s">
        <v>1811</v>
      </c>
    </row>
    <row r="379" spans="1:19">
      <c r="A379" t="s">
        <v>1032</v>
      </c>
      <c r="B379" s="104" t="str">
        <f t="shared" si="12"/>
        <v>STRONG 60N bílý Polohovací</v>
      </c>
      <c r="C379">
        <v>251</v>
      </c>
      <c r="O379" t="s">
        <v>1033</v>
      </c>
      <c r="P379" t="s">
        <v>1220</v>
      </c>
      <c r="Q379" t="s">
        <v>1221</v>
      </c>
      <c r="R379" t="s">
        <v>1222</v>
      </c>
      <c r="S379" s="51" t="s">
        <v>1812</v>
      </c>
    </row>
    <row r="380" spans="1:19">
      <c r="A380" t="s">
        <v>1034</v>
      </c>
      <c r="B380" s="104" t="str">
        <f t="shared" si="12"/>
        <v>STRONG 80N bílý Polohovací</v>
      </c>
      <c r="C380">
        <v>252</v>
      </c>
      <c r="O380" t="s">
        <v>1035</v>
      </c>
      <c r="P380" t="s">
        <v>1223</v>
      </c>
      <c r="Q380" t="s">
        <v>1224</v>
      </c>
      <c r="R380" t="s">
        <v>1225</v>
      </c>
      <c r="S380" s="51" t="s">
        <v>1813</v>
      </c>
    </row>
    <row r="381" spans="1:19">
      <c r="A381" t="s">
        <v>1036</v>
      </c>
      <c r="B381" s="104" t="str">
        <f t="shared" si="12"/>
        <v>STRONG 100N bílý Polohovací</v>
      </c>
      <c r="C381">
        <v>253</v>
      </c>
      <c r="O381" t="s">
        <v>1037</v>
      </c>
      <c r="P381" t="s">
        <v>1226</v>
      </c>
      <c r="Q381" t="s">
        <v>1227</v>
      </c>
      <c r="R381" t="s">
        <v>1228</v>
      </c>
      <c r="S381" s="51" t="s">
        <v>1814</v>
      </c>
    </row>
    <row r="382" spans="1:19">
      <c r="A382" t="s">
        <v>1038</v>
      </c>
      <c r="B382" s="104" t="str">
        <f t="shared" si="12"/>
        <v>STRONG 120N bílý Polohovací</v>
      </c>
      <c r="C382">
        <v>254</v>
      </c>
      <c r="O382" t="s">
        <v>1039</v>
      </c>
      <c r="P382" t="s">
        <v>1229</v>
      </c>
      <c r="Q382" t="s">
        <v>1230</v>
      </c>
      <c r="R382" t="s">
        <v>1231</v>
      </c>
      <c r="S382" s="51" t="s">
        <v>1815</v>
      </c>
    </row>
    <row r="383" spans="1:19">
      <c r="A383" t="s">
        <v>1040</v>
      </c>
      <c r="B383" s="104" t="str">
        <f t="shared" si="12"/>
        <v>STRONG 30N šedý Automatický</v>
      </c>
      <c r="C383">
        <v>255</v>
      </c>
      <c r="O383" t="s">
        <v>1041</v>
      </c>
      <c r="P383" t="s">
        <v>1041</v>
      </c>
      <c r="Q383" t="s">
        <v>1232</v>
      </c>
      <c r="R383" t="s">
        <v>1233</v>
      </c>
      <c r="S383" s="51" t="s">
        <v>1816</v>
      </c>
    </row>
    <row r="384" spans="1:19">
      <c r="A384" t="s">
        <v>1042</v>
      </c>
      <c r="B384" s="104" t="str">
        <f t="shared" si="12"/>
        <v>STRONG 60N šedý Automatický</v>
      </c>
      <c r="C384">
        <v>256</v>
      </c>
      <c r="O384" t="s">
        <v>1043</v>
      </c>
      <c r="P384" t="s">
        <v>1043</v>
      </c>
      <c r="Q384" t="s">
        <v>1234</v>
      </c>
      <c r="R384" t="s">
        <v>1235</v>
      </c>
      <c r="S384" s="51" t="s">
        <v>1817</v>
      </c>
    </row>
    <row r="385" spans="1:19">
      <c r="A385" t="s">
        <v>1044</v>
      </c>
      <c r="B385" s="104" t="str">
        <f t="shared" ref="B385:B448" si="13">IF($D$1=1,O:O,IF($D$1=2,P:P,IF($D$1=3,Q:Q,IF($D$1=4,R:R,IF($D$1=5,S:S)))))</f>
        <v>STRONG 80N šedý Automatický</v>
      </c>
      <c r="C385">
        <v>257</v>
      </c>
      <c r="O385" t="s">
        <v>1045</v>
      </c>
      <c r="P385" t="s">
        <v>1045</v>
      </c>
      <c r="Q385" t="s">
        <v>1236</v>
      </c>
      <c r="R385" t="s">
        <v>1237</v>
      </c>
      <c r="S385" s="51" t="s">
        <v>1818</v>
      </c>
    </row>
    <row r="386" spans="1:19">
      <c r="A386" t="s">
        <v>1046</v>
      </c>
      <c r="B386" s="104" t="str">
        <f t="shared" si="13"/>
        <v>STRONG 100N šedý Automatický</v>
      </c>
      <c r="C386">
        <v>258</v>
      </c>
      <c r="O386" t="s">
        <v>1047</v>
      </c>
      <c r="P386" t="s">
        <v>1047</v>
      </c>
      <c r="Q386" t="s">
        <v>1238</v>
      </c>
      <c r="R386" t="s">
        <v>1239</v>
      </c>
      <c r="S386" s="51" t="s">
        <v>1819</v>
      </c>
    </row>
    <row r="387" spans="1:19">
      <c r="A387" t="s">
        <v>1048</v>
      </c>
      <c r="B387" s="104" t="str">
        <f t="shared" si="13"/>
        <v>STRONG 120N šedý Automatický</v>
      </c>
      <c r="C387">
        <v>259</v>
      </c>
      <c r="O387" t="s">
        <v>1049</v>
      </c>
      <c r="P387" t="s">
        <v>1049</v>
      </c>
      <c r="Q387" t="s">
        <v>1240</v>
      </c>
      <c r="R387" t="s">
        <v>1241</v>
      </c>
      <c r="S387" s="51" t="s">
        <v>1820</v>
      </c>
    </row>
    <row r="388" spans="1:19">
      <c r="A388" t="s">
        <v>1050</v>
      </c>
      <c r="B388" s="104" t="str">
        <f t="shared" si="13"/>
        <v>STRONG 60N šedý Polohovací</v>
      </c>
      <c r="C388">
        <v>260</v>
      </c>
      <c r="O388" t="s">
        <v>1051</v>
      </c>
      <c r="P388" t="s">
        <v>1051</v>
      </c>
      <c r="Q388" t="s">
        <v>1242</v>
      </c>
      <c r="R388" t="s">
        <v>1243</v>
      </c>
      <c r="S388" s="51" t="s">
        <v>1821</v>
      </c>
    </row>
    <row r="389" spans="1:19">
      <c r="A389" t="s">
        <v>1052</v>
      </c>
      <c r="B389" s="104" t="str">
        <f t="shared" si="13"/>
        <v>STRONG 80N šedý Polohovací</v>
      </c>
      <c r="C389">
        <v>261</v>
      </c>
      <c r="O389" t="s">
        <v>1053</v>
      </c>
      <c r="P389" t="s">
        <v>1053</v>
      </c>
      <c r="Q389" t="s">
        <v>1244</v>
      </c>
      <c r="R389" t="s">
        <v>1245</v>
      </c>
      <c r="S389" s="51" t="s">
        <v>1822</v>
      </c>
    </row>
    <row r="390" spans="1:19">
      <c r="A390" t="s">
        <v>1054</v>
      </c>
      <c r="B390" s="104" t="str">
        <f t="shared" si="13"/>
        <v>STRONG 100N šedý Polohovací</v>
      </c>
      <c r="C390">
        <v>262</v>
      </c>
      <c r="O390" t="s">
        <v>1055</v>
      </c>
      <c r="P390" t="s">
        <v>1055</v>
      </c>
      <c r="Q390" t="s">
        <v>1246</v>
      </c>
      <c r="R390" t="s">
        <v>1247</v>
      </c>
      <c r="S390" s="51" t="s">
        <v>1823</v>
      </c>
    </row>
    <row r="391" spans="1:19">
      <c r="A391" t="s">
        <v>1056</v>
      </c>
      <c r="B391" s="104" t="str">
        <f t="shared" si="13"/>
        <v>STRONG 120N šedý Polohovací</v>
      </c>
      <c r="C391">
        <v>263</v>
      </c>
      <c r="O391" t="s">
        <v>1057</v>
      </c>
      <c r="P391" t="s">
        <v>1057</v>
      </c>
      <c r="Q391" t="s">
        <v>1248</v>
      </c>
      <c r="R391" t="s">
        <v>1249</v>
      </c>
      <c r="S391" s="51" t="s">
        <v>1824</v>
      </c>
    </row>
    <row r="392" spans="1:19">
      <c r="A392" t="s">
        <v>1058</v>
      </c>
      <c r="B392" s="104" t="str">
        <f t="shared" si="13"/>
        <v>HUWIL DUO</v>
      </c>
      <c r="C392">
        <v>264</v>
      </c>
      <c r="O392" t="s">
        <v>1059</v>
      </c>
      <c r="P392" t="s">
        <v>1059</v>
      </c>
      <c r="Q392" t="s">
        <v>1059</v>
      </c>
      <c r="R392" t="s">
        <v>1059</v>
      </c>
      <c r="S392" s="51" t="s">
        <v>1059</v>
      </c>
    </row>
    <row r="393" spans="1:19">
      <c r="A393" t="s">
        <v>1060</v>
      </c>
      <c r="B393" s="104" t="str">
        <f t="shared" si="13"/>
        <v>HUWIL DUO FORTE</v>
      </c>
      <c r="C393">
        <v>265</v>
      </c>
      <c r="O393" t="s">
        <v>1061</v>
      </c>
      <c r="P393" t="s">
        <v>1061</v>
      </c>
      <c r="Q393" t="s">
        <v>1061</v>
      </c>
      <c r="R393" t="s">
        <v>1061</v>
      </c>
      <c r="S393" s="51" t="s">
        <v>1061</v>
      </c>
    </row>
    <row r="394" spans="1:19">
      <c r="A394" t="s">
        <v>1062</v>
      </c>
      <c r="B394" s="104" t="str">
        <f t="shared" si="13"/>
        <v>HUWILIFT MAXI</v>
      </c>
      <c r="C394">
        <v>266</v>
      </c>
      <c r="O394" t="s">
        <v>1063</v>
      </c>
      <c r="P394" t="s">
        <v>1063</v>
      </c>
      <c r="Q394" t="s">
        <v>1063</v>
      </c>
      <c r="R394" t="s">
        <v>1063</v>
      </c>
      <c r="S394" s="51" t="s">
        <v>1063</v>
      </c>
    </row>
    <row r="395" spans="1:19">
      <c r="A395" t="s">
        <v>1064</v>
      </c>
      <c r="B395" s="104" t="str">
        <f t="shared" si="13"/>
        <v>KRABY 164 45N</v>
      </c>
      <c r="C395">
        <v>267</v>
      </c>
      <c r="O395" t="s">
        <v>714</v>
      </c>
      <c r="P395" t="s">
        <v>714</v>
      </c>
      <c r="Q395" t="s">
        <v>714</v>
      </c>
      <c r="R395" t="s">
        <v>714</v>
      </c>
      <c r="S395" s="51" t="s">
        <v>714</v>
      </c>
    </row>
    <row r="396" spans="1:19">
      <c r="A396" t="s">
        <v>1065</v>
      </c>
      <c r="B396" s="104" t="str">
        <f t="shared" si="13"/>
        <v>KRABY 164 60N</v>
      </c>
      <c r="C396">
        <v>268</v>
      </c>
      <c r="O396" t="s">
        <v>715</v>
      </c>
      <c r="P396" t="s">
        <v>715</v>
      </c>
      <c r="Q396" t="s">
        <v>715</v>
      </c>
      <c r="R396" t="s">
        <v>715</v>
      </c>
      <c r="S396" s="51" t="s">
        <v>715</v>
      </c>
    </row>
    <row r="397" spans="1:19">
      <c r="A397" t="s">
        <v>1066</v>
      </c>
      <c r="B397" s="104" t="str">
        <f t="shared" si="13"/>
        <v>KRABY 244 45N</v>
      </c>
      <c r="C397">
        <v>269</v>
      </c>
      <c r="O397" t="s">
        <v>716</v>
      </c>
      <c r="P397" t="s">
        <v>716</v>
      </c>
      <c r="Q397" t="s">
        <v>716</v>
      </c>
      <c r="R397" t="s">
        <v>716</v>
      </c>
      <c r="S397" s="51" t="s">
        <v>716</v>
      </c>
    </row>
    <row r="398" spans="1:19">
      <c r="A398" t="s">
        <v>1067</v>
      </c>
      <c r="B398" s="104" t="str">
        <f t="shared" si="13"/>
        <v>KRABY 244 60N</v>
      </c>
      <c r="C398">
        <v>270</v>
      </c>
      <c r="O398" t="s">
        <v>717</v>
      </c>
      <c r="P398" t="s">
        <v>717</v>
      </c>
      <c r="Q398" t="s">
        <v>717</v>
      </c>
      <c r="R398" t="s">
        <v>717</v>
      </c>
      <c r="S398" s="51" t="s">
        <v>717</v>
      </c>
    </row>
    <row r="399" spans="1:19">
      <c r="A399" t="s">
        <v>1068</v>
      </c>
      <c r="B399" s="104" t="str">
        <f t="shared" si="13"/>
        <v>KRABY 244 90N</v>
      </c>
      <c r="C399">
        <v>271</v>
      </c>
      <c r="O399" t="s">
        <v>718</v>
      </c>
      <c r="P399" t="s">
        <v>718</v>
      </c>
      <c r="Q399" t="s">
        <v>718</v>
      </c>
      <c r="R399" t="s">
        <v>718</v>
      </c>
      <c r="S399" s="51" t="s">
        <v>718</v>
      </c>
    </row>
    <row r="400" spans="1:19">
      <c r="A400" t="s">
        <v>1069</v>
      </c>
      <c r="B400" s="104" t="str">
        <f t="shared" si="13"/>
        <v>KRABY 244 120N</v>
      </c>
      <c r="C400">
        <v>272</v>
      </c>
      <c r="O400" t="s">
        <v>719</v>
      </c>
      <c r="P400" t="s">
        <v>719</v>
      </c>
      <c r="Q400" t="s">
        <v>719</v>
      </c>
      <c r="R400" t="s">
        <v>719</v>
      </c>
      <c r="S400" s="51" t="s">
        <v>719</v>
      </c>
    </row>
    <row r="401" spans="1:19">
      <c r="A401" t="s">
        <v>1070</v>
      </c>
      <c r="B401" s="104" t="str">
        <f t="shared" si="13"/>
        <v>KRABY 355 45N</v>
      </c>
      <c r="C401">
        <v>273</v>
      </c>
      <c r="O401" t="s">
        <v>720</v>
      </c>
      <c r="P401" t="s">
        <v>720</v>
      </c>
      <c r="Q401" t="s">
        <v>720</v>
      </c>
      <c r="R401" t="s">
        <v>720</v>
      </c>
      <c r="S401" s="51" t="s">
        <v>720</v>
      </c>
    </row>
    <row r="402" spans="1:19">
      <c r="A402" t="s">
        <v>1071</v>
      </c>
      <c r="B402" s="104" t="str">
        <f t="shared" si="13"/>
        <v>KRABY 355 60N</v>
      </c>
      <c r="C402">
        <v>274</v>
      </c>
      <c r="O402" t="s">
        <v>721</v>
      </c>
      <c r="P402" t="s">
        <v>721</v>
      </c>
      <c r="Q402" t="s">
        <v>721</v>
      </c>
      <c r="R402" t="s">
        <v>721</v>
      </c>
      <c r="S402" s="51" t="s">
        <v>721</v>
      </c>
    </row>
    <row r="403" spans="1:19">
      <c r="A403" t="s">
        <v>1072</v>
      </c>
      <c r="B403" s="104" t="str">
        <f t="shared" si="13"/>
        <v>KRABY 355 90N</v>
      </c>
      <c r="C403">
        <v>275</v>
      </c>
      <c r="O403" t="s">
        <v>722</v>
      </c>
      <c r="P403" t="s">
        <v>722</v>
      </c>
      <c r="Q403" t="s">
        <v>722</v>
      </c>
      <c r="R403" t="s">
        <v>722</v>
      </c>
      <c r="S403" s="51" t="s">
        <v>722</v>
      </c>
    </row>
    <row r="404" spans="1:19">
      <c r="A404" t="s">
        <v>1073</v>
      </c>
      <c r="B404" s="104" t="str">
        <f t="shared" si="13"/>
        <v>KRABY 355 120N</v>
      </c>
      <c r="C404">
        <v>276</v>
      </c>
      <c r="O404" t="s">
        <v>723</v>
      </c>
      <c r="P404" t="s">
        <v>723</v>
      </c>
      <c r="Q404" t="s">
        <v>723</v>
      </c>
      <c r="R404" t="s">
        <v>723</v>
      </c>
      <c r="S404" s="51" t="s">
        <v>723</v>
      </c>
    </row>
    <row r="405" spans="1:19">
      <c r="A405" t="s">
        <v>1074</v>
      </c>
      <c r="B405" s="104" t="str">
        <f t="shared" si="13"/>
        <v>K12 244 50N</v>
      </c>
      <c r="C405">
        <v>277</v>
      </c>
      <c r="O405" t="s">
        <v>1075</v>
      </c>
      <c r="P405" t="s">
        <v>1075</v>
      </c>
      <c r="Q405" t="s">
        <v>1075</v>
      </c>
      <c r="R405" t="s">
        <v>1075</v>
      </c>
      <c r="S405" s="51" t="s">
        <v>1075</v>
      </c>
    </row>
    <row r="406" spans="1:19">
      <c r="A406" t="s">
        <v>1076</v>
      </c>
      <c r="B406" s="104" t="str">
        <f t="shared" si="13"/>
        <v>K12 244 80N</v>
      </c>
      <c r="C406">
        <v>278</v>
      </c>
      <c r="O406" t="s">
        <v>1077</v>
      </c>
      <c r="P406" t="s">
        <v>1077</v>
      </c>
      <c r="Q406" t="s">
        <v>1077</v>
      </c>
      <c r="R406" t="s">
        <v>1077</v>
      </c>
      <c r="S406" s="51" t="s">
        <v>1077</v>
      </c>
    </row>
    <row r="407" spans="1:19">
      <c r="A407" t="s">
        <v>1078</v>
      </c>
      <c r="B407" s="104" t="str">
        <f t="shared" si="13"/>
        <v>K12 244 100N</v>
      </c>
      <c r="C407">
        <v>279</v>
      </c>
      <c r="O407" t="s">
        <v>1079</v>
      </c>
      <c r="P407" t="s">
        <v>1079</v>
      </c>
      <c r="Q407" t="s">
        <v>1079</v>
      </c>
      <c r="R407" t="s">
        <v>1079</v>
      </c>
      <c r="S407" s="51" t="s">
        <v>1079</v>
      </c>
    </row>
    <row r="408" spans="1:19">
      <c r="A408" t="s">
        <v>1080</v>
      </c>
      <c r="B408" s="104" t="str">
        <f t="shared" si="13"/>
        <v>K12 244 120N</v>
      </c>
      <c r="C408">
        <v>280</v>
      </c>
      <c r="O408" t="s">
        <v>1081</v>
      </c>
      <c r="P408" t="s">
        <v>1081</v>
      </c>
      <c r="Q408" t="s">
        <v>1081</v>
      </c>
      <c r="R408" t="s">
        <v>1081</v>
      </c>
      <c r="S408" s="51" t="s">
        <v>1081</v>
      </c>
    </row>
    <row r="409" spans="1:19">
      <c r="A409" t="s">
        <v>1082</v>
      </c>
      <c r="B409" s="104" t="str">
        <f t="shared" si="13"/>
        <v>K12 355 60N</v>
      </c>
      <c r="C409">
        <v>281</v>
      </c>
      <c r="O409" t="s">
        <v>1083</v>
      </c>
      <c r="P409" t="s">
        <v>1083</v>
      </c>
      <c r="Q409" t="s">
        <v>1083</v>
      </c>
      <c r="R409" t="s">
        <v>1083</v>
      </c>
      <c r="S409" s="51" t="s">
        <v>1083</v>
      </c>
    </row>
    <row r="410" spans="1:19">
      <c r="A410" t="s">
        <v>1084</v>
      </c>
      <c r="B410" s="104" t="str">
        <f t="shared" si="13"/>
        <v>K12 355 90N</v>
      </c>
      <c r="C410">
        <v>282</v>
      </c>
      <c r="O410" t="s">
        <v>1085</v>
      </c>
      <c r="P410" t="s">
        <v>1085</v>
      </c>
      <c r="Q410" t="s">
        <v>1085</v>
      </c>
      <c r="R410" t="s">
        <v>1085</v>
      </c>
      <c r="S410" s="51" t="s">
        <v>1085</v>
      </c>
    </row>
    <row r="411" spans="1:19">
      <c r="A411" t="s">
        <v>1086</v>
      </c>
      <c r="B411" s="104" t="str">
        <f t="shared" si="13"/>
        <v>K12 355 110N</v>
      </c>
      <c r="C411">
        <v>283</v>
      </c>
      <c r="O411" t="s">
        <v>1087</v>
      </c>
      <c r="P411" t="s">
        <v>1087</v>
      </c>
      <c r="Q411" t="s">
        <v>1087</v>
      </c>
      <c r="R411" t="s">
        <v>1087</v>
      </c>
      <c r="S411" s="51" t="s">
        <v>1087</v>
      </c>
    </row>
    <row r="412" spans="1:19">
      <c r="A412" t="s">
        <v>1088</v>
      </c>
      <c r="B412" s="104" t="str">
        <f t="shared" si="13"/>
        <v>K12 355 130N</v>
      </c>
      <c r="C412">
        <v>284</v>
      </c>
      <c r="O412" t="s">
        <v>1089</v>
      </c>
      <c r="P412" t="s">
        <v>1089</v>
      </c>
      <c r="Q412" t="s">
        <v>1089</v>
      </c>
      <c r="R412" t="s">
        <v>1089</v>
      </c>
      <c r="S412" s="51" t="s">
        <v>1089</v>
      </c>
    </row>
    <row r="413" spans="1:19">
      <c r="A413" t="s">
        <v>1090</v>
      </c>
      <c r="B413" s="104" t="str">
        <f t="shared" si="13"/>
        <v>STRONG spodní bílý</v>
      </c>
      <c r="C413">
        <v>285</v>
      </c>
      <c r="O413" t="s">
        <v>1091</v>
      </c>
      <c r="P413" t="s">
        <v>1250</v>
      </c>
      <c r="Q413" t="s">
        <v>1251</v>
      </c>
      <c r="R413" t="s">
        <v>1252</v>
      </c>
      <c r="S413" s="51" t="s">
        <v>1825</v>
      </c>
    </row>
    <row r="414" spans="1:19">
      <c r="A414" t="s">
        <v>1092</v>
      </c>
      <c r="B414" s="104" t="str">
        <f t="shared" si="13"/>
        <v>STRONG spodní šedý</v>
      </c>
      <c r="C414">
        <v>286</v>
      </c>
      <c r="O414" t="s">
        <v>1093</v>
      </c>
      <c r="P414" t="s">
        <v>1253</v>
      </c>
      <c r="Q414" t="s">
        <v>1254</v>
      </c>
      <c r="R414" t="s">
        <v>1255</v>
      </c>
      <c r="S414" s="51" t="s">
        <v>1826</v>
      </c>
    </row>
    <row r="415" spans="1:19">
      <c r="A415" t="s">
        <v>1094</v>
      </c>
      <c r="B415" s="104" t="str">
        <f t="shared" si="13"/>
        <v xml:space="preserve">HUWIL DUO (90°) </v>
      </c>
      <c r="C415">
        <v>287</v>
      </c>
      <c r="O415" t="s">
        <v>1095</v>
      </c>
      <c r="P415" t="s">
        <v>1095</v>
      </c>
      <c r="Q415" t="s">
        <v>1095</v>
      </c>
      <c r="R415" t="s">
        <v>1095</v>
      </c>
      <c r="S415" s="51" t="s">
        <v>1827</v>
      </c>
    </row>
    <row r="416" spans="1:19">
      <c r="A416" t="s">
        <v>1096</v>
      </c>
      <c r="B416" s="104" t="str">
        <f t="shared" si="13"/>
        <v>HUWIL DUO FORTE</v>
      </c>
      <c r="C416">
        <v>288</v>
      </c>
      <c r="O416" t="s">
        <v>1061</v>
      </c>
      <c r="P416" t="s">
        <v>1061</v>
      </c>
      <c r="Q416" t="s">
        <v>1061</v>
      </c>
      <c r="R416" t="s">
        <v>1061</v>
      </c>
      <c r="S416" s="51" t="s">
        <v>1061</v>
      </c>
    </row>
    <row r="417" spans="1:19">
      <c r="A417" t="s">
        <v>1097</v>
      </c>
      <c r="B417" s="104" t="str">
        <f t="shared" si="13"/>
        <v>KRABY 164 spodní</v>
      </c>
      <c r="C417">
        <v>289</v>
      </c>
      <c r="O417" t="s">
        <v>1098</v>
      </c>
      <c r="P417" t="s">
        <v>1256</v>
      </c>
      <c r="Q417" t="s">
        <v>1257</v>
      </c>
      <c r="R417" t="s">
        <v>1258</v>
      </c>
      <c r="S417" s="51" t="s">
        <v>1828</v>
      </c>
    </row>
    <row r="418" spans="1:19">
      <c r="A418" t="s">
        <v>1099</v>
      </c>
      <c r="B418" s="104" t="str">
        <f t="shared" si="13"/>
        <v>KRABY 244 spodní</v>
      </c>
      <c r="C418">
        <v>290</v>
      </c>
      <c r="O418" t="s">
        <v>1100</v>
      </c>
      <c r="P418" t="s">
        <v>1259</v>
      </c>
      <c r="Q418" t="s">
        <v>1260</v>
      </c>
      <c r="R418" t="s">
        <v>1261</v>
      </c>
      <c r="S418" s="51" t="s">
        <v>1829</v>
      </c>
    </row>
    <row r="419" spans="1:19">
      <c r="A419" t="s">
        <v>1101</v>
      </c>
      <c r="B419" s="104" t="str">
        <f t="shared" si="13"/>
        <v>KRABY 355 spodní</v>
      </c>
      <c r="C419">
        <v>291</v>
      </c>
      <c r="O419" t="s">
        <v>1102</v>
      </c>
      <c r="P419" t="s">
        <v>1262</v>
      </c>
      <c r="Q419" t="s">
        <v>1263</v>
      </c>
      <c r="R419" t="s">
        <v>1264</v>
      </c>
      <c r="S419" s="51" t="s">
        <v>1830</v>
      </c>
    </row>
    <row r="420" spans="1:19">
      <c r="A420">
        <v>248162</v>
      </c>
      <c r="B420" s="104" t="str">
        <f t="shared" si="13"/>
        <v>STRONG 30N bílý Automatický</v>
      </c>
      <c r="C420">
        <v>292</v>
      </c>
      <c r="O420" t="s">
        <v>1023</v>
      </c>
      <c r="P420" t="s">
        <v>1205</v>
      </c>
      <c r="Q420" t="s">
        <v>1206</v>
      </c>
      <c r="R420" t="s">
        <v>1207</v>
      </c>
      <c r="S420" s="51" t="s">
        <v>1807</v>
      </c>
    </row>
    <row r="421" spans="1:19">
      <c r="A421">
        <v>248163</v>
      </c>
      <c r="B421" s="104" t="str">
        <f t="shared" si="13"/>
        <v>STRONG 60N bílý Automatický</v>
      </c>
      <c r="C421">
        <v>293</v>
      </c>
      <c r="O421" t="s">
        <v>1025</v>
      </c>
      <c r="P421" t="s">
        <v>1208</v>
      </c>
      <c r="Q421" t="s">
        <v>1209</v>
      </c>
      <c r="R421" t="s">
        <v>1210</v>
      </c>
      <c r="S421" s="51" t="s">
        <v>1808</v>
      </c>
    </row>
    <row r="422" spans="1:19">
      <c r="A422">
        <v>248164</v>
      </c>
      <c r="B422" s="104" t="str">
        <f t="shared" si="13"/>
        <v>STRONG 80N bílý Automatický</v>
      </c>
      <c r="C422">
        <v>294</v>
      </c>
      <c r="O422" t="s">
        <v>1027</v>
      </c>
      <c r="P422" t="s">
        <v>1211</v>
      </c>
      <c r="Q422" t="s">
        <v>1212</v>
      </c>
      <c r="R422" t="s">
        <v>1213</v>
      </c>
      <c r="S422" s="51" t="s">
        <v>1809</v>
      </c>
    </row>
    <row r="423" spans="1:19">
      <c r="A423">
        <v>248165</v>
      </c>
      <c r="B423" s="104" t="str">
        <f t="shared" si="13"/>
        <v>STRONG 100N bílý Automatický</v>
      </c>
      <c r="C423">
        <v>295</v>
      </c>
      <c r="O423" t="s">
        <v>1029</v>
      </c>
      <c r="P423" t="s">
        <v>1214</v>
      </c>
      <c r="Q423" t="s">
        <v>1215</v>
      </c>
      <c r="R423" t="s">
        <v>1216</v>
      </c>
      <c r="S423" s="51" t="s">
        <v>1810</v>
      </c>
    </row>
    <row r="424" spans="1:19">
      <c r="A424">
        <v>248166</v>
      </c>
      <c r="B424" s="104" t="str">
        <f t="shared" si="13"/>
        <v>STRONG 120N bílý Automatický</v>
      </c>
      <c r="C424">
        <v>296</v>
      </c>
      <c r="O424" t="s">
        <v>1031</v>
      </c>
      <c r="P424" t="s">
        <v>1217</v>
      </c>
      <c r="Q424" t="s">
        <v>1218</v>
      </c>
      <c r="R424" t="s">
        <v>1219</v>
      </c>
      <c r="S424" s="51" t="s">
        <v>1811</v>
      </c>
    </row>
    <row r="425" spans="1:19">
      <c r="A425">
        <v>284254</v>
      </c>
      <c r="B425" s="104" t="str">
        <f t="shared" si="13"/>
        <v>STRONG 60N bílý Polohovací</v>
      </c>
      <c r="C425">
        <v>297</v>
      </c>
      <c r="O425" t="s">
        <v>1033</v>
      </c>
      <c r="P425" t="s">
        <v>1220</v>
      </c>
      <c r="Q425" t="s">
        <v>1221</v>
      </c>
      <c r="R425" t="s">
        <v>1222</v>
      </c>
      <c r="S425" s="51" t="s">
        <v>1812</v>
      </c>
    </row>
    <row r="426" spans="1:19">
      <c r="A426">
        <v>284255</v>
      </c>
      <c r="B426" s="104" t="str">
        <f t="shared" si="13"/>
        <v>STRONG 80N bílý Polohovací</v>
      </c>
      <c r="C426">
        <v>298</v>
      </c>
      <c r="O426" t="s">
        <v>1035</v>
      </c>
      <c r="P426" t="s">
        <v>1223</v>
      </c>
      <c r="Q426" t="s">
        <v>1224</v>
      </c>
      <c r="R426" t="s">
        <v>1225</v>
      </c>
      <c r="S426" s="51" t="s">
        <v>1813</v>
      </c>
    </row>
    <row r="427" spans="1:19">
      <c r="A427">
        <v>284256</v>
      </c>
      <c r="B427" s="104" t="str">
        <f t="shared" si="13"/>
        <v>STRONG 100N bílý Polohovací</v>
      </c>
      <c r="C427">
        <v>299</v>
      </c>
      <c r="O427" t="s">
        <v>1037</v>
      </c>
      <c r="P427" t="s">
        <v>1226</v>
      </c>
      <c r="Q427" t="s">
        <v>1227</v>
      </c>
      <c r="R427" t="s">
        <v>1228</v>
      </c>
      <c r="S427" s="51" t="s">
        <v>1814</v>
      </c>
    </row>
    <row r="428" spans="1:19">
      <c r="A428">
        <v>284257</v>
      </c>
      <c r="B428" s="104" t="str">
        <f t="shared" si="13"/>
        <v>STRONG 120N bílý Polohovací</v>
      </c>
      <c r="C428">
        <v>300</v>
      </c>
      <c r="O428" t="s">
        <v>1039</v>
      </c>
      <c r="P428" t="s">
        <v>1229</v>
      </c>
      <c r="Q428" t="s">
        <v>1230</v>
      </c>
      <c r="R428" t="s">
        <v>1231</v>
      </c>
      <c r="S428" s="51" t="s">
        <v>1815</v>
      </c>
    </row>
    <row r="429" spans="1:19">
      <c r="A429">
        <v>275672</v>
      </c>
      <c r="B429" s="104" t="str">
        <f t="shared" si="13"/>
        <v>STRONG 30N šedý Automatický</v>
      </c>
      <c r="C429">
        <v>301</v>
      </c>
      <c r="O429" t="s">
        <v>1041</v>
      </c>
      <c r="P429" t="s">
        <v>1041</v>
      </c>
      <c r="Q429" t="s">
        <v>1232</v>
      </c>
      <c r="R429" t="s">
        <v>1233</v>
      </c>
      <c r="S429" s="51" t="s">
        <v>1816</v>
      </c>
    </row>
    <row r="430" spans="1:19">
      <c r="A430">
        <v>275673</v>
      </c>
      <c r="B430" s="104" t="str">
        <f t="shared" si="13"/>
        <v>STRONG 60N šedý Automatický</v>
      </c>
      <c r="C430">
        <v>302</v>
      </c>
      <c r="O430" t="s">
        <v>1043</v>
      </c>
      <c r="P430" t="s">
        <v>1043</v>
      </c>
      <c r="Q430" t="s">
        <v>1234</v>
      </c>
      <c r="R430" t="s">
        <v>1235</v>
      </c>
      <c r="S430" s="51" t="s">
        <v>1817</v>
      </c>
    </row>
    <row r="431" spans="1:19">
      <c r="A431">
        <v>275674</v>
      </c>
      <c r="B431" s="104" t="str">
        <f t="shared" si="13"/>
        <v>STRONG 80N šedý Automatický</v>
      </c>
      <c r="C431">
        <v>303</v>
      </c>
      <c r="O431" t="s">
        <v>1045</v>
      </c>
      <c r="P431" t="s">
        <v>1045</v>
      </c>
      <c r="Q431" t="s">
        <v>1236</v>
      </c>
      <c r="R431" t="s">
        <v>1237</v>
      </c>
      <c r="S431" s="51" t="s">
        <v>1818</v>
      </c>
    </row>
    <row r="432" spans="1:19">
      <c r="A432">
        <v>275675</v>
      </c>
      <c r="B432" s="104" t="str">
        <f t="shared" si="13"/>
        <v>STRONG 100N šedý Automatický</v>
      </c>
      <c r="C432">
        <v>304</v>
      </c>
      <c r="O432" t="s">
        <v>1047</v>
      </c>
      <c r="P432" t="s">
        <v>1047</v>
      </c>
      <c r="Q432" t="s">
        <v>1238</v>
      </c>
      <c r="R432" t="s">
        <v>1239</v>
      </c>
      <c r="S432" s="51" t="s">
        <v>1819</v>
      </c>
    </row>
    <row r="433" spans="1:19">
      <c r="A433">
        <v>275676</v>
      </c>
      <c r="B433" s="104" t="str">
        <f t="shared" si="13"/>
        <v>STRONG 120N šedý Automatický</v>
      </c>
      <c r="C433">
        <v>305</v>
      </c>
      <c r="O433" t="s">
        <v>1049</v>
      </c>
      <c r="P433" t="s">
        <v>1049</v>
      </c>
      <c r="Q433" t="s">
        <v>1240</v>
      </c>
      <c r="R433" t="s">
        <v>1241</v>
      </c>
      <c r="S433" s="51" t="s">
        <v>1820</v>
      </c>
    </row>
    <row r="434" spans="1:19">
      <c r="A434">
        <v>284250</v>
      </c>
      <c r="B434" s="104" t="str">
        <f t="shared" si="13"/>
        <v>STRONG 60N šedý Polohovací</v>
      </c>
      <c r="C434">
        <v>306</v>
      </c>
      <c r="O434" t="s">
        <v>1051</v>
      </c>
      <c r="P434" t="s">
        <v>1051</v>
      </c>
      <c r="Q434" t="s">
        <v>1242</v>
      </c>
      <c r="R434" t="s">
        <v>1243</v>
      </c>
      <c r="S434" s="51" t="s">
        <v>1821</v>
      </c>
    </row>
    <row r="435" spans="1:19">
      <c r="A435">
        <v>284251</v>
      </c>
      <c r="B435" s="104" t="str">
        <f t="shared" si="13"/>
        <v>STRONG 80N šedý Polohovací</v>
      </c>
      <c r="C435">
        <v>307</v>
      </c>
      <c r="O435" t="s">
        <v>1053</v>
      </c>
      <c r="P435" t="s">
        <v>1053</v>
      </c>
      <c r="Q435" t="s">
        <v>1244</v>
      </c>
      <c r="R435" t="s">
        <v>1245</v>
      </c>
      <c r="S435" s="51" t="s">
        <v>1822</v>
      </c>
    </row>
    <row r="436" spans="1:19">
      <c r="A436">
        <v>284252</v>
      </c>
      <c r="B436" s="104" t="str">
        <f t="shared" si="13"/>
        <v>STRONG 100N šedý Polohovací</v>
      </c>
      <c r="C436">
        <v>308</v>
      </c>
      <c r="O436" t="s">
        <v>1055</v>
      </c>
      <c r="P436" t="s">
        <v>1055</v>
      </c>
      <c r="Q436" t="s">
        <v>1246</v>
      </c>
      <c r="R436" t="s">
        <v>1247</v>
      </c>
      <c r="S436" s="51" t="s">
        <v>1823</v>
      </c>
    </row>
    <row r="437" spans="1:19">
      <c r="A437">
        <v>284253</v>
      </c>
      <c r="B437" s="104" t="str">
        <f t="shared" si="13"/>
        <v>STRONG 120N šedý Polohovací</v>
      </c>
      <c r="C437">
        <v>309</v>
      </c>
      <c r="O437" t="s">
        <v>1057</v>
      </c>
      <c r="P437" t="s">
        <v>1057</v>
      </c>
      <c r="Q437" t="s">
        <v>1248</v>
      </c>
      <c r="R437" t="s">
        <v>1249</v>
      </c>
      <c r="S437" s="51" t="s">
        <v>1824</v>
      </c>
    </row>
    <row r="438" spans="1:19">
      <c r="A438" t="s">
        <v>1103</v>
      </c>
      <c r="B438" s="104" t="str">
        <f t="shared" si="13"/>
        <v>HUWIL DUO</v>
      </c>
      <c r="C438">
        <v>310</v>
      </c>
      <c r="O438" t="s">
        <v>1059</v>
      </c>
      <c r="P438" t="s">
        <v>1059</v>
      </c>
      <c r="Q438" t="s">
        <v>1059</v>
      </c>
      <c r="R438" t="s">
        <v>1059</v>
      </c>
      <c r="S438" s="51" t="s">
        <v>1059</v>
      </c>
    </row>
    <row r="439" spans="1:19">
      <c r="A439" t="s">
        <v>1104</v>
      </c>
      <c r="B439" s="104" t="str">
        <f t="shared" si="13"/>
        <v>HUWILIFT MAXI</v>
      </c>
      <c r="C439">
        <v>311</v>
      </c>
      <c r="O439" t="s">
        <v>1063</v>
      </c>
      <c r="P439" t="s">
        <v>1063</v>
      </c>
      <c r="Q439" t="s">
        <v>1063</v>
      </c>
      <c r="R439" t="s">
        <v>1063</v>
      </c>
      <c r="S439" s="51" t="s">
        <v>1063</v>
      </c>
    </row>
    <row r="440" spans="1:19">
      <c r="A440">
        <v>135006</v>
      </c>
      <c r="B440" s="104" t="str">
        <f t="shared" si="13"/>
        <v>KRABY 164 45N</v>
      </c>
      <c r="C440">
        <v>312</v>
      </c>
      <c r="O440" t="s">
        <v>714</v>
      </c>
      <c r="P440" t="s">
        <v>714</v>
      </c>
      <c r="Q440" t="s">
        <v>714</v>
      </c>
      <c r="R440" t="s">
        <v>714</v>
      </c>
      <c r="S440" s="51" t="s">
        <v>714</v>
      </c>
    </row>
    <row r="441" spans="1:19">
      <c r="A441">
        <v>135007</v>
      </c>
      <c r="B441" s="104" t="str">
        <f t="shared" si="13"/>
        <v>KRABY 164 60N</v>
      </c>
      <c r="C441">
        <v>313</v>
      </c>
      <c r="O441" t="s">
        <v>715</v>
      </c>
      <c r="P441" t="s">
        <v>715</v>
      </c>
      <c r="Q441" t="s">
        <v>715</v>
      </c>
      <c r="R441" t="s">
        <v>715</v>
      </c>
      <c r="S441" s="51" t="s">
        <v>715</v>
      </c>
    </row>
    <row r="442" spans="1:19">
      <c r="A442">
        <v>15590</v>
      </c>
      <c r="B442" s="104" t="str">
        <f t="shared" si="13"/>
        <v>KRABY 244 45N</v>
      </c>
      <c r="C442">
        <v>314</v>
      </c>
      <c r="O442" t="s">
        <v>716</v>
      </c>
      <c r="P442" t="s">
        <v>716</v>
      </c>
      <c r="Q442" t="s">
        <v>716</v>
      </c>
      <c r="R442" t="s">
        <v>716</v>
      </c>
      <c r="S442" s="51" t="s">
        <v>716</v>
      </c>
    </row>
    <row r="443" spans="1:19">
      <c r="A443">
        <v>15591</v>
      </c>
      <c r="B443" s="104" t="str">
        <f t="shared" si="13"/>
        <v>KRABY 244 60N</v>
      </c>
      <c r="C443">
        <v>315</v>
      </c>
      <c r="O443" t="s">
        <v>717</v>
      </c>
      <c r="P443" t="s">
        <v>717</v>
      </c>
      <c r="Q443" t="s">
        <v>717</v>
      </c>
      <c r="R443" t="s">
        <v>717</v>
      </c>
      <c r="S443" s="51" t="s">
        <v>717</v>
      </c>
    </row>
    <row r="444" spans="1:19">
      <c r="A444">
        <v>15592</v>
      </c>
      <c r="B444" s="104" t="str">
        <f t="shared" si="13"/>
        <v>KRABY 244 90N</v>
      </c>
      <c r="C444">
        <v>316</v>
      </c>
      <c r="O444" t="s">
        <v>718</v>
      </c>
      <c r="P444" t="s">
        <v>718</v>
      </c>
      <c r="Q444" t="s">
        <v>718</v>
      </c>
      <c r="R444" t="s">
        <v>718</v>
      </c>
      <c r="S444" s="51" t="s">
        <v>718</v>
      </c>
    </row>
    <row r="445" spans="1:19">
      <c r="A445">
        <v>15593</v>
      </c>
      <c r="B445" s="104" t="str">
        <f t="shared" si="13"/>
        <v>KRABY 244 120N</v>
      </c>
      <c r="C445">
        <v>317</v>
      </c>
      <c r="O445" t="s">
        <v>719</v>
      </c>
      <c r="P445" t="s">
        <v>719</v>
      </c>
      <c r="Q445" t="s">
        <v>719</v>
      </c>
      <c r="R445" t="s">
        <v>719</v>
      </c>
      <c r="S445" s="51" t="s">
        <v>719</v>
      </c>
    </row>
    <row r="446" spans="1:19">
      <c r="A446">
        <v>135008</v>
      </c>
      <c r="B446" s="104" t="str">
        <f t="shared" si="13"/>
        <v>KRABY 355 45N</v>
      </c>
      <c r="C446">
        <v>318</v>
      </c>
      <c r="O446" t="s">
        <v>720</v>
      </c>
      <c r="P446" t="s">
        <v>720</v>
      </c>
      <c r="Q446" t="s">
        <v>720</v>
      </c>
      <c r="R446" t="s">
        <v>720</v>
      </c>
      <c r="S446" s="51" t="s">
        <v>720</v>
      </c>
    </row>
    <row r="447" spans="1:19">
      <c r="A447">
        <v>135009</v>
      </c>
      <c r="B447" s="104" t="str">
        <f t="shared" si="13"/>
        <v>KRABY 355 60N</v>
      </c>
      <c r="C447">
        <v>319</v>
      </c>
      <c r="O447" t="s">
        <v>721</v>
      </c>
      <c r="P447" t="s">
        <v>721</v>
      </c>
      <c r="Q447" t="s">
        <v>721</v>
      </c>
      <c r="R447" t="s">
        <v>721</v>
      </c>
      <c r="S447" s="51" t="s">
        <v>721</v>
      </c>
    </row>
    <row r="448" spans="1:19">
      <c r="A448">
        <v>135010</v>
      </c>
      <c r="B448" s="104" t="str">
        <f t="shared" si="13"/>
        <v>KRABY 355 90N</v>
      </c>
      <c r="C448">
        <v>320</v>
      </c>
      <c r="O448" t="s">
        <v>722</v>
      </c>
      <c r="P448" t="s">
        <v>722</v>
      </c>
      <c r="Q448" t="s">
        <v>722</v>
      </c>
      <c r="R448" t="s">
        <v>722</v>
      </c>
      <c r="S448" s="51" t="s">
        <v>722</v>
      </c>
    </row>
    <row r="449" spans="1:19">
      <c r="A449">
        <v>135011</v>
      </c>
      <c r="B449" s="104" t="str">
        <f t="shared" ref="B449:B500" si="14">IF($D$1=1,O:O,IF($D$1=2,P:P,IF($D$1=3,Q:Q,IF($D$1=4,R:R,IF($D$1=5,S:S)))))</f>
        <v>KRABY 355 120N</v>
      </c>
      <c r="C449">
        <v>321</v>
      </c>
      <c r="O449" t="s">
        <v>723</v>
      </c>
      <c r="P449" t="s">
        <v>723</v>
      </c>
      <c r="Q449" t="s">
        <v>723</v>
      </c>
      <c r="R449" t="s">
        <v>723</v>
      </c>
      <c r="S449" s="51" t="s">
        <v>723</v>
      </c>
    </row>
    <row r="450" spans="1:19">
      <c r="A450">
        <v>282471</v>
      </c>
      <c r="B450" s="104" t="str">
        <f t="shared" si="14"/>
        <v>K12 244 50N</v>
      </c>
      <c r="C450">
        <v>322</v>
      </c>
      <c r="O450" t="s">
        <v>1075</v>
      </c>
      <c r="P450" t="s">
        <v>1075</v>
      </c>
      <c r="Q450" t="s">
        <v>1075</v>
      </c>
      <c r="R450" t="s">
        <v>1075</v>
      </c>
      <c r="S450" s="51" t="s">
        <v>1075</v>
      </c>
    </row>
    <row r="451" spans="1:19">
      <c r="A451">
        <v>282472</v>
      </c>
      <c r="B451" s="104" t="str">
        <f t="shared" si="14"/>
        <v>K12 244 80N</v>
      </c>
      <c r="C451">
        <v>323</v>
      </c>
      <c r="O451" t="s">
        <v>1077</v>
      </c>
      <c r="P451" t="s">
        <v>1077</v>
      </c>
      <c r="Q451" t="s">
        <v>1077</v>
      </c>
      <c r="R451" t="s">
        <v>1077</v>
      </c>
      <c r="S451" s="51" t="s">
        <v>1077</v>
      </c>
    </row>
    <row r="452" spans="1:19">
      <c r="A452">
        <v>282473</v>
      </c>
      <c r="B452" s="104" t="str">
        <f t="shared" si="14"/>
        <v>K12 244 100N</v>
      </c>
      <c r="C452">
        <v>324</v>
      </c>
      <c r="O452" t="s">
        <v>1079</v>
      </c>
      <c r="P452" t="s">
        <v>1079</v>
      </c>
      <c r="Q452" t="s">
        <v>1079</v>
      </c>
      <c r="R452" t="s">
        <v>1079</v>
      </c>
      <c r="S452" s="51" t="s">
        <v>1079</v>
      </c>
    </row>
    <row r="453" spans="1:19">
      <c r="A453">
        <v>282474</v>
      </c>
      <c r="B453" s="104" t="str">
        <f t="shared" si="14"/>
        <v>K12 244 120N</v>
      </c>
      <c r="C453">
        <v>325</v>
      </c>
      <c r="O453" t="s">
        <v>1081</v>
      </c>
      <c r="P453" t="s">
        <v>1081</v>
      </c>
      <c r="Q453" t="s">
        <v>1081</v>
      </c>
      <c r="R453" t="s">
        <v>1081</v>
      </c>
      <c r="S453" s="51" t="s">
        <v>1081</v>
      </c>
    </row>
    <row r="454" spans="1:19">
      <c r="A454">
        <v>282475</v>
      </c>
      <c r="B454" s="104" t="str">
        <f t="shared" si="14"/>
        <v>K12 355 60N</v>
      </c>
      <c r="C454">
        <v>326</v>
      </c>
      <c r="O454" t="s">
        <v>1083</v>
      </c>
      <c r="P454" t="s">
        <v>1083</v>
      </c>
      <c r="Q454" t="s">
        <v>1083</v>
      </c>
      <c r="R454" t="s">
        <v>1083</v>
      </c>
      <c r="S454" s="51" t="s">
        <v>1083</v>
      </c>
    </row>
    <row r="455" spans="1:19">
      <c r="A455">
        <v>282476</v>
      </c>
      <c r="B455" s="104" t="str">
        <f t="shared" si="14"/>
        <v>K12 355 90N</v>
      </c>
      <c r="C455">
        <v>327</v>
      </c>
      <c r="O455" t="s">
        <v>1085</v>
      </c>
      <c r="P455" t="s">
        <v>1085</v>
      </c>
      <c r="Q455" t="s">
        <v>1085</v>
      </c>
      <c r="R455" t="s">
        <v>1085</v>
      </c>
      <c r="S455" s="51" t="s">
        <v>1085</v>
      </c>
    </row>
    <row r="456" spans="1:19">
      <c r="A456">
        <v>282477</v>
      </c>
      <c r="B456" s="104" t="str">
        <f t="shared" si="14"/>
        <v>K12 355 110N</v>
      </c>
      <c r="C456">
        <v>328</v>
      </c>
      <c r="O456" t="s">
        <v>1087</v>
      </c>
      <c r="P456" t="s">
        <v>1087</v>
      </c>
      <c r="Q456" t="s">
        <v>1087</v>
      </c>
      <c r="R456" t="s">
        <v>1087</v>
      </c>
      <c r="S456" s="51" t="s">
        <v>1087</v>
      </c>
    </row>
    <row r="457" spans="1:19">
      <c r="A457">
        <v>282478</v>
      </c>
      <c r="B457" s="104" t="str">
        <f t="shared" si="14"/>
        <v>K12 355 130N</v>
      </c>
      <c r="C457">
        <v>329</v>
      </c>
      <c r="O457" t="s">
        <v>1089</v>
      </c>
      <c r="P457" t="s">
        <v>1089</v>
      </c>
      <c r="Q457" t="s">
        <v>1089</v>
      </c>
      <c r="R457" t="s">
        <v>1089</v>
      </c>
      <c r="S457" s="51" t="s">
        <v>1089</v>
      </c>
    </row>
    <row r="458" spans="1:19">
      <c r="A458">
        <v>275689</v>
      </c>
      <c r="B458" s="104" t="str">
        <f t="shared" si="14"/>
        <v>STRONG spodní bílý</v>
      </c>
      <c r="C458">
        <v>330</v>
      </c>
      <c r="O458" t="s">
        <v>1091</v>
      </c>
      <c r="P458" t="s">
        <v>1250</v>
      </c>
      <c r="Q458" t="s">
        <v>1251</v>
      </c>
      <c r="R458" t="s">
        <v>1252</v>
      </c>
      <c r="S458" s="51" t="s">
        <v>1825</v>
      </c>
    </row>
    <row r="459" spans="1:19">
      <c r="A459">
        <v>248167</v>
      </c>
      <c r="B459" s="104" t="str">
        <f t="shared" si="14"/>
        <v>STRONG spodní šedý</v>
      </c>
      <c r="C459">
        <v>331</v>
      </c>
      <c r="O459" t="s">
        <v>1093</v>
      </c>
      <c r="P459" t="s">
        <v>1253</v>
      </c>
      <c r="Q459" t="s">
        <v>1254</v>
      </c>
      <c r="R459" t="s">
        <v>1255</v>
      </c>
      <c r="S459" s="51" t="s">
        <v>1826</v>
      </c>
    </row>
    <row r="460" spans="1:19">
      <c r="A460" t="s">
        <v>1094</v>
      </c>
      <c r="B460" s="104" t="str">
        <f t="shared" si="14"/>
        <v xml:space="preserve">HUWIL DUO (90°) </v>
      </c>
      <c r="C460">
        <v>332</v>
      </c>
      <c r="O460" t="s">
        <v>1095</v>
      </c>
      <c r="P460" t="s">
        <v>1095</v>
      </c>
      <c r="Q460" t="s">
        <v>1095</v>
      </c>
      <c r="R460" t="s">
        <v>1095</v>
      </c>
      <c r="S460" s="51" t="s">
        <v>1827</v>
      </c>
    </row>
    <row r="461" spans="1:19">
      <c r="A461" t="s">
        <v>1096</v>
      </c>
      <c r="B461" s="104" t="str">
        <f t="shared" si="14"/>
        <v>HUWIL DUO FORTE</v>
      </c>
      <c r="C461">
        <v>333</v>
      </c>
      <c r="O461" t="s">
        <v>1061</v>
      </c>
      <c r="P461" t="s">
        <v>1061</v>
      </c>
      <c r="Q461" t="s">
        <v>1061</v>
      </c>
      <c r="R461" t="s">
        <v>1061</v>
      </c>
      <c r="S461" s="51" t="s">
        <v>1061</v>
      </c>
    </row>
    <row r="462" spans="1:19">
      <c r="A462">
        <v>15588</v>
      </c>
      <c r="B462" s="104" t="str">
        <f t="shared" si="14"/>
        <v>KRABY 164 spodní</v>
      </c>
      <c r="C462">
        <v>334</v>
      </c>
      <c r="O462" t="s">
        <v>1098</v>
      </c>
      <c r="P462" t="s">
        <v>1256</v>
      </c>
      <c r="Q462" t="s">
        <v>1257</v>
      </c>
      <c r="R462" t="s">
        <v>1258</v>
      </c>
      <c r="S462" s="51" t="s">
        <v>1828</v>
      </c>
    </row>
    <row r="463" spans="1:19">
      <c r="A463">
        <v>15594</v>
      </c>
      <c r="B463" s="104" t="str">
        <f t="shared" si="14"/>
        <v>KRABY 244 spodní</v>
      </c>
      <c r="C463">
        <v>335</v>
      </c>
      <c r="O463" t="s">
        <v>1100</v>
      </c>
      <c r="P463" t="s">
        <v>1259</v>
      </c>
      <c r="Q463" t="s">
        <v>1260</v>
      </c>
      <c r="R463" t="s">
        <v>1261</v>
      </c>
      <c r="S463" s="51" t="s">
        <v>1829</v>
      </c>
    </row>
    <row r="464" spans="1:19">
      <c r="A464">
        <v>15589</v>
      </c>
      <c r="B464" s="104" t="str">
        <f t="shared" si="14"/>
        <v>KRABY 355 spodní</v>
      </c>
      <c r="C464">
        <v>336</v>
      </c>
      <c r="O464" t="s">
        <v>1102</v>
      </c>
      <c r="P464" t="s">
        <v>1262</v>
      </c>
      <c r="Q464" t="s">
        <v>1263</v>
      </c>
      <c r="R464" t="s">
        <v>1264</v>
      </c>
      <c r="S464" s="51" t="s">
        <v>1830</v>
      </c>
    </row>
    <row r="465" spans="1:19">
      <c r="A465">
        <v>92613</v>
      </c>
      <c r="B465" s="104" t="str">
        <f t="shared" si="14"/>
        <v>k nasunutí na vrut H0</v>
      </c>
      <c r="C465">
        <v>337</v>
      </c>
      <c r="O465" t="s">
        <v>1110</v>
      </c>
      <c r="P465" t="s">
        <v>1265</v>
      </c>
      <c r="Q465" t="s">
        <v>1266</v>
      </c>
      <c r="R465" t="s">
        <v>1267</v>
      </c>
      <c r="S465" s="51" t="s">
        <v>1831</v>
      </c>
    </row>
    <row r="466" spans="1:19">
      <c r="A466">
        <v>92614</v>
      </c>
      <c r="B466" s="104" t="str">
        <f t="shared" si="14"/>
        <v>k nasunutí EURO šroub H0</v>
      </c>
      <c r="C466">
        <v>338</v>
      </c>
      <c r="O466" t="s">
        <v>1111</v>
      </c>
      <c r="P466" t="s">
        <v>1268</v>
      </c>
      <c r="Q466" t="s">
        <v>1269</v>
      </c>
      <c r="R466" t="s">
        <v>1270</v>
      </c>
      <c r="S466" s="51" t="s">
        <v>1832</v>
      </c>
    </row>
    <row r="467" spans="1:19">
      <c r="A467">
        <v>92592</v>
      </c>
      <c r="B467" s="104" t="str">
        <f t="shared" si="14"/>
        <v>k nasunutí na vrut H2</v>
      </c>
      <c r="C467">
        <v>339</v>
      </c>
      <c r="O467" t="s">
        <v>1112</v>
      </c>
      <c r="P467" t="s">
        <v>1271</v>
      </c>
      <c r="Q467" t="s">
        <v>1272</v>
      </c>
      <c r="R467" t="s">
        <v>1273</v>
      </c>
      <c r="S467" s="51" t="s">
        <v>1833</v>
      </c>
    </row>
    <row r="468" spans="1:19">
      <c r="A468">
        <v>92593</v>
      </c>
      <c r="B468" s="104" t="str">
        <f t="shared" si="14"/>
        <v>k nasunutí EURO šroub H2</v>
      </c>
      <c r="C468">
        <v>340</v>
      </c>
      <c r="O468" t="s">
        <v>1113</v>
      </c>
      <c r="P468" t="s">
        <v>1274</v>
      </c>
      <c r="Q468" t="s">
        <v>1275</v>
      </c>
      <c r="R468" t="s">
        <v>1276</v>
      </c>
      <c r="S468" s="51" t="s">
        <v>1834</v>
      </c>
    </row>
    <row r="469" spans="1:19">
      <c r="A469" t="s">
        <v>121</v>
      </c>
      <c r="B469" s="104" t="str">
        <f t="shared" si="14"/>
        <v>Clip na vrut H2</v>
      </c>
      <c r="C469">
        <v>341</v>
      </c>
      <c r="O469" t="s">
        <v>185</v>
      </c>
      <c r="P469" t="s">
        <v>393</v>
      </c>
      <c r="Q469" t="s">
        <v>457</v>
      </c>
      <c r="R469" t="s">
        <v>533</v>
      </c>
      <c r="S469" s="51" t="s">
        <v>1663</v>
      </c>
    </row>
    <row r="470" spans="1:19">
      <c r="A470" t="s">
        <v>90</v>
      </c>
      <c r="B470" s="104" t="str">
        <f t="shared" si="14"/>
        <v>Clip vrut s excentrem H0</v>
      </c>
      <c r="C470">
        <v>342</v>
      </c>
      <c r="O470" t="s">
        <v>1115</v>
      </c>
      <c r="P470" t="s">
        <v>1277</v>
      </c>
      <c r="Q470" t="s">
        <v>1278</v>
      </c>
      <c r="R470" t="s">
        <v>1446</v>
      </c>
      <c r="S470" s="51" t="s">
        <v>1835</v>
      </c>
    </row>
    <row r="471" spans="1:19">
      <c r="A471" t="s">
        <v>1114</v>
      </c>
      <c r="B471" s="104" t="str">
        <f t="shared" si="14"/>
        <v>Clip na vrut H0</v>
      </c>
      <c r="C471">
        <v>343</v>
      </c>
      <c r="O471" t="s">
        <v>183</v>
      </c>
      <c r="P471" t="s">
        <v>409</v>
      </c>
      <c r="Q471" t="s">
        <v>474</v>
      </c>
      <c r="R471" t="s">
        <v>550</v>
      </c>
      <c r="S471" s="51" t="s">
        <v>1683</v>
      </c>
    </row>
    <row r="472" spans="1:19">
      <c r="B472" s="104" t="str">
        <f t="shared" si="14"/>
        <v>Minimální možný rozměr rámečku je 140x140mm</v>
      </c>
      <c r="O472" t="s">
        <v>1283</v>
      </c>
      <c r="P472" t="s">
        <v>1284</v>
      </c>
      <c r="Q472" t="s">
        <v>1285</v>
      </c>
      <c r="R472" t="s">
        <v>1286</v>
      </c>
      <c r="S472" s="51" t="s">
        <v>1836</v>
      </c>
    </row>
    <row r="473" spans="1:19">
      <c r="A473">
        <v>308058</v>
      </c>
      <c r="B473" s="104" t="str">
        <f t="shared" si="14"/>
        <v xml:space="preserve">Sensys SiSy naložený </v>
      </c>
      <c r="O473" s="79" t="s">
        <v>1288</v>
      </c>
      <c r="P473" t="s">
        <v>1288</v>
      </c>
      <c r="Q473" t="s">
        <v>1406</v>
      </c>
      <c r="R473" t="s">
        <v>1407</v>
      </c>
      <c r="S473" s="51" t="s">
        <v>1837</v>
      </c>
    </row>
    <row r="474" spans="1:19">
      <c r="A474">
        <v>308454</v>
      </c>
      <c r="B474" s="104" t="str">
        <f t="shared" si="14"/>
        <v xml:space="preserve">Sensys SiSy polonaložený </v>
      </c>
      <c r="O474" s="79" t="s">
        <v>1289</v>
      </c>
      <c r="P474" t="s">
        <v>1289</v>
      </c>
      <c r="Q474" t="s">
        <v>1414</v>
      </c>
      <c r="R474" t="s">
        <v>1415</v>
      </c>
      <c r="S474" s="51" t="s">
        <v>1838</v>
      </c>
    </row>
    <row r="475" spans="1:19">
      <c r="A475">
        <v>308455</v>
      </c>
      <c r="B475" s="104" t="str">
        <f t="shared" si="14"/>
        <v xml:space="preserve">Sensys SiSy vložený </v>
      </c>
      <c r="O475" s="79" t="s">
        <v>1290</v>
      </c>
      <c r="P475" s="33" t="s">
        <v>1433</v>
      </c>
      <c r="Q475" s="33" t="s">
        <v>1434</v>
      </c>
      <c r="R475" s="33" t="s">
        <v>1435</v>
      </c>
      <c r="S475" s="51" t="s">
        <v>1839</v>
      </c>
    </row>
    <row r="476" spans="1:19">
      <c r="A476">
        <v>336503</v>
      </c>
      <c r="B476" s="104" t="str">
        <f t="shared" si="14"/>
        <v xml:space="preserve">Sensys P2o naložený </v>
      </c>
      <c r="O476" s="79" t="s">
        <v>1291</v>
      </c>
      <c r="P476" t="s">
        <v>1291</v>
      </c>
      <c r="Q476" t="s">
        <v>1408</v>
      </c>
      <c r="R476" t="s">
        <v>1409</v>
      </c>
      <c r="S476" s="51" t="s">
        <v>1840</v>
      </c>
    </row>
    <row r="477" spans="1:19">
      <c r="A477">
        <v>336506</v>
      </c>
      <c r="B477" s="104" t="str">
        <f t="shared" si="14"/>
        <v xml:space="preserve">Sensys P2o polonaložený </v>
      </c>
      <c r="O477" s="79" t="s">
        <v>1292</v>
      </c>
      <c r="P477" t="s">
        <v>1292</v>
      </c>
      <c r="Q477" t="s">
        <v>1416</v>
      </c>
      <c r="R477" t="s">
        <v>1417</v>
      </c>
      <c r="S477" s="51" t="s">
        <v>1841</v>
      </c>
    </row>
    <row r="478" spans="1:19">
      <c r="A478">
        <v>346823</v>
      </c>
      <c r="B478" s="104" t="str">
        <f t="shared" si="14"/>
        <v xml:space="preserve">Sensys P2o vložený </v>
      </c>
      <c r="O478" s="79" t="s">
        <v>1293</v>
      </c>
      <c r="P478" s="33" t="s">
        <v>1436</v>
      </c>
      <c r="Q478" s="33" t="s">
        <v>1437</v>
      </c>
      <c r="R478" s="33" t="s">
        <v>1438</v>
      </c>
      <c r="S478" s="51" t="s">
        <v>1842</v>
      </c>
    </row>
    <row r="479" spans="1:19">
      <c r="A479" s="78">
        <v>300285</v>
      </c>
      <c r="B479" s="104" t="str">
        <f t="shared" si="14"/>
        <v>Sensys naložený P2O</v>
      </c>
      <c r="O479" s="79" t="s">
        <v>1294</v>
      </c>
      <c r="P479" t="s">
        <v>1291</v>
      </c>
      <c r="Q479" t="s">
        <v>1408</v>
      </c>
      <c r="R479" t="s">
        <v>1409</v>
      </c>
      <c r="S479" s="51" t="s">
        <v>1843</v>
      </c>
    </row>
    <row r="480" spans="1:19">
      <c r="A480">
        <v>306317</v>
      </c>
      <c r="B480" s="104" t="str">
        <f t="shared" si="14"/>
        <v>naložený s tlumením clip 110°, ONYX</v>
      </c>
      <c r="O480" t="s">
        <v>1295</v>
      </c>
      <c r="P480" t="s">
        <v>1410</v>
      </c>
      <c r="Q480" t="s">
        <v>1411</v>
      </c>
      <c r="R480" t="s">
        <v>1430</v>
      </c>
      <c r="S480" s="51" t="s">
        <v>1844</v>
      </c>
    </row>
    <row r="481" spans="1:19">
      <c r="A481">
        <v>306318</v>
      </c>
      <c r="B481" s="104" t="str">
        <f t="shared" si="14"/>
        <v>polonaložený s tlumením clip 110°, ONYX</v>
      </c>
      <c r="O481" t="s">
        <v>1296</v>
      </c>
      <c r="P481" t="s">
        <v>1412</v>
      </c>
      <c r="Q481" t="s">
        <v>1413</v>
      </c>
      <c r="R481" t="s">
        <v>1431</v>
      </c>
      <c r="S481" s="51" t="s">
        <v>1845</v>
      </c>
    </row>
    <row r="482" spans="1:19">
      <c r="A482">
        <v>306319</v>
      </c>
      <c r="B482" s="104" t="str">
        <f t="shared" si="14"/>
        <v>vložený s tlumením clip 110°, ONYX</v>
      </c>
      <c r="O482" t="s">
        <v>1297</v>
      </c>
      <c r="P482" t="s">
        <v>1439</v>
      </c>
      <c r="Q482" t="s">
        <v>1440</v>
      </c>
      <c r="R482" t="s">
        <v>1441</v>
      </c>
      <c r="S482" s="51" t="s">
        <v>1846</v>
      </c>
    </row>
    <row r="483" spans="1:19">
      <c r="A483">
        <v>306329</v>
      </c>
      <c r="B483" s="104" t="str">
        <f t="shared" si="14"/>
        <v>naložený 95°, Onyx</v>
      </c>
      <c r="O483" t="s">
        <v>1298</v>
      </c>
      <c r="P483" t="s">
        <v>1418</v>
      </c>
      <c r="Q483" t="s">
        <v>1419</v>
      </c>
      <c r="R483" t="s">
        <v>1432</v>
      </c>
      <c r="S483" s="51" t="s">
        <v>1847</v>
      </c>
    </row>
    <row r="484" spans="1:19">
      <c r="B484" s="104" t="str">
        <f t="shared" si="14"/>
        <v>STRONGHINGES</v>
      </c>
      <c r="O484" t="s">
        <v>3353</v>
      </c>
      <c r="P484" t="s">
        <v>3353</v>
      </c>
      <c r="Q484" t="s">
        <v>3353</v>
      </c>
      <c r="R484" t="s">
        <v>3353</v>
      </c>
      <c r="S484" t="s">
        <v>3353</v>
      </c>
    </row>
    <row r="485" spans="1:19">
      <c r="A485">
        <v>350837</v>
      </c>
      <c r="B485" s="104" t="str">
        <f t="shared" si="14"/>
        <v>StrongHinges naložený clip bez pružiny</v>
      </c>
      <c r="O485" t="s">
        <v>3326</v>
      </c>
      <c r="P485" s="33" t="s">
        <v>3327</v>
      </c>
      <c r="Q485" s="33" t="s">
        <v>3328</v>
      </c>
      <c r="R485" s="33" t="s">
        <v>3329</v>
      </c>
      <c r="S485" s="51" t="s">
        <v>3391</v>
      </c>
    </row>
    <row r="486" spans="1:19">
      <c r="A486">
        <v>350838</v>
      </c>
      <c r="B486" s="104" t="str">
        <f t="shared" si="14"/>
        <v>StrongHinges naložený clip bez pružiny</v>
      </c>
      <c r="O486" t="s">
        <v>3326</v>
      </c>
      <c r="P486" s="33" t="s">
        <v>3330</v>
      </c>
      <c r="Q486" s="33" t="s">
        <v>3381</v>
      </c>
      <c r="R486" s="33" t="s">
        <v>3382</v>
      </c>
      <c r="S486" s="51" t="s">
        <v>3391</v>
      </c>
    </row>
    <row r="487" spans="1:19">
      <c r="A487">
        <v>350839</v>
      </c>
      <c r="B487" s="104" t="str">
        <f t="shared" si="14"/>
        <v>StrongHinges vložený clip bez pružiny</v>
      </c>
      <c r="O487" t="s">
        <v>3386</v>
      </c>
      <c r="P487" s="33" t="s">
        <v>3331</v>
      </c>
      <c r="Q487" s="33" t="s">
        <v>3332</v>
      </c>
      <c r="R487" s="33" t="s">
        <v>3383</v>
      </c>
      <c r="S487" s="51" t="s">
        <v>3399</v>
      </c>
    </row>
    <row r="488" spans="1:19">
      <c r="A488">
        <v>350856</v>
      </c>
      <c r="B488" s="104" t="str">
        <f t="shared" si="14"/>
        <v>StrongHinges 30° clip bez pružiny</v>
      </c>
      <c r="O488" t="s">
        <v>3333</v>
      </c>
      <c r="P488" s="33" t="s">
        <v>3334</v>
      </c>
      <c r="Q488" s="33" t="s">
        <v>3335</v>
      </c>
      <c r="R488" s="33" t="s">
        <v>3336</v>
      </c>
      <c r="S488" s="51" t="s">
        <v>3392</v>
      </c>
    </row>
    <row r="489" spans="1:19">
      <c r="A489" s="80">
        <v>350827</v>
      </c>
      <c r="B489" s="104" t="str">
        <f t="shared" si="14"/>
        <v>StrongHinges naložený clip</v>
      </c>
      <c r="O489" t="s">
        <v>3337</v>
      </c>
      <c r="P489" t="s">
        <v>3337</v>
      </c>
      <c r="Q489" t="s">
        <v>3338</v>
      </c>
      <c r="R489" t="s">
        <v>3339</v>
      </c>
      <c r="S489" s="51" t="s">
        <v>3393</v>
      </c>
    </row>
    <row r="490" spans="1:19">
      <c r="A490" s="80">
        <v>350828</v>
      </c>
      <c r="B490" s="104" t="str">
        <f t="shared" si="14"/>
        <v>StrongHinges polonaložený clip</v>
      </c>
      <c r="O490" t="s">
        <v>3340</v>
      </c>
      <c r="P490" t="s">
        <v>3340</v>
      </c>
      <c r="Q490" t="s">
        <v>3341</v>
      </c>
      <c r="R490" t="s">
        <v>3384</v>
      </c>
      <c r="S490" s="51" t="s">
        <v>3394</v>
      </c>
    </row>
    <row r="491" spans="1:19">
      <c r="A491" s="80">
        <v>350829</v>
      </c>
      <c r="B491" s="104" t="str">
        <f t="shared" si="14"/>
        <v>StrongHinges vložený clip</v>
      </c>
      <c r="O491" t="s">
        <v>3342</v>
      </c>
      <c r="P491" s="33" t="s">
        <v>3342</v>
      </c>
      <c r="Q491" s="33" t="s">
        <v>3343</v>
      </c>
      <c r="R491" s="33" t="s">
        <v>3385</v>
      </c>
      <c r="S491" s="51" t="s">
        <v>3395</v>
      </c>
    </row>
    <row r="492" spans="1:19">
      <c r="A492" s="80">
        <v>350854</v>
      </c>
      <c r="B492" s="104" t="str">
        <f t="shared" si="14"/>
        <v>StrongHinges 30°clip</v>
      </c>
      <c r="O492" t="s">
        <v>3344</v>
      </c>
      <c r="P492" t="s">
        <v>3344</v>
      </c>
      <c r="Q492" t="s">
        <v>3344</v>
      </c>
      <c r="R492" t="s">
        <v>3344</v>
      </c>
      <c r="S492" s="51" t="s">
        <v>3396</v>
      </c>
    </row>
    <row r="493" spans="1:19">
      <c r="A493" s="32">
        <v>350863</v>
      </c>
      <c r="B493" s="104" t="str">
        <f t="shared" si="14"/>
        <v>StrongHinges naložený clip</v>
      </c>
      <c r="O493" t="s">
        <v>3337</v>
      </c>
      <c r="P493" t="s">
        <v>3337</v>
      </c>
      <c r="Q493" t="s">
        <v>3338</v>
      </c>
      <c r="R493" t="s">
        <v>3339</v>
      </c>
      <c r="S493" s="51" t="s">
        <v>3393</v>
      </c>
    </row>
    <row r="494" spans="1:19">
      <c r="A494" s="32">
        <v>350864</v>
      </c>
      <c r="B494" s="104" t="str">
        <f t="shared" si="14"/>
        <v>StrongHinges naložený clip bez pružiny</v>
      </c>
      <c r="O494" t="s">
        <v>3326</v>
      </c>
      <c r="P494" s="33" t="s">
        <v>3327</v>
      </c>
      <c r="Q494" s="33" t="s">
        <v>3328</v>
      </c>
      <c r="R494" s="33" t="s">
        <v>3329</v>
      </c>
      <c r="S494" s="51" t="s">
        <v>3391</v>
      </c>
    </row>
    <row r="495" spans="1:19">
      <c r="A495" s="32">
        <v>315856</v>
      </c>
      <c r="B495" s="104" t="str">
        <f t="shared" si="14"/>
        <v>StrongHinges Clip vrut s excentrem H0</v>
      </c>
      <c r="O495" t="s">
        <v>3345</v>
      </c>
      <c r="P495" t="s">
        <v>3346</v>
      </c>
      <c r="Q495" t="s">
        <v>3347</v>
      </c>
      <c r="R495" t="s">
        <v>3348</v>
      </c>
      <c r="S495" s="51" t="s">
        <v>3397</v>
      </c>
    </row>
    <row r="496" spans="1:19">
      <c r="A496" s="32">
        <v>350868</v>
      </c>
      <c r="B496" s="104" t="str">
        <f t="shared" si="14"/>
        <v>StrongHinges Clip vrut s excentrem H2</v>
      </c>
      <c r="O496" t="s">
        <v>3349</v>
      </c>
      <c r="P496" t="s">
        <v>3350</v>
      </c>
      <c r="Q496" t="s">
        <v>3351</v>
      </c>
      <c r="R496" t="s">
        <v>3352</v>
      </c>
      <c r="S496" s="51" t="s">
        <v>3398</v>
      </c>
    </row>
    <row r="497" spans="2:19">
      <c r="B497" s="104" t="str">
        <f t="shared" si="14"/>
        <v>Úvod</v>
      </c>
      <c r="O497" t="s">
        <v>1447</v>
      </c>
      <c r="P497" t="s">
        <v>1447</v>
      </c>
      <c r="Q497" t="s">
        <v>1448</v>
      </c>
      <c r="R497" t="s">
        <v>1449</v>
      </c>
      <c r="S497" s="51" t="s">
        <v>1848</v>
      </c>
    </row>
    <row r="498" spans="2:19">
      <c r="B498" s="104" t="str">
        <f t="shared" si="14"/>
        <v>Maximální možný rozměr rámečku Corleone je 1500x600mm</v>
      </c>
      <c r="C498">
        <v>164</v>
      </c>
      <c r="O498" s="11" t="s">
        <v>1460</v>
      </c>
      <c r="P498" t="s">
        <v>1461</v>
      </c>
      <c r="Q498" t="s">
        <v>1462</v>
      </c>
      <c r="R498" t="s">
        <v>1463</v>
      </c>
      <c r="S498" s="51" t="s">
        <v>1849</v>
      </c>
    </row>
    <row r="499" spans="2:19">
      <c r="B499" s="104" t="str">
        <f t="shared" si="14"/>
        <v>Rámeček</v>
      </c>
      <c r="O499" s="11" t="s">
        <v>1634</v>
      </c>
      <c r="P499" t="s">
        <v>1635</v>
      </c>
      <c r="Q499" t="s">
        <v>1858</v>
      </c>
      <c r="R499" t="s">
        <v>1856</v>
      </c>
      <c r="S499" s="117" t="s">
        <v>1857</v>
      </c>
    </row>
    <row r="500" spans="2:19">
      <c r="B500" s="104" t="str">
        <f t="shared" si="14"/>
        <v>Přejít na:</v>
      </c>
      <c r="O500" s="11" t="s">
        <v>1859</v>
      </c>
      <c r="P500" t="s">
        <v>1863</v>
      </c>
      <c r="Q500" t="s">
        <v>1861</v>
      </c>
      <c r="R500" t="s">
        <v>1862</v>
      </c>
      <c r="S500" s="117" t="s">
        <v>1860</v>
      </c>
    </row>
    <row r="501" spans="2:19">
      <c r="B501" s="12" t="s">
        <v>1850</v>
      </c>
      <c r="O501" t="s">
        <v>1850</v>
      </c>
      <c r="P501" t="s">
        <v>1851</v>
      </c>
      <c r="Q501" t="s">
        <v>1852</v>
      </c>
      <c r="R501" t="s">
        <v>1853</v>
      </c>
      <c r="S501" s="117" t="s">
        <v>1854</v>
      </c>
    </row>
    <row r="502" spans="2:19">
      <c r="B502" s="12"/>
      <c r="O502"/>
    </row>
    <row r="503" spans="2:19">
      <c r="B503" s="12"/>
      <c r="O503"/>
    </row>
    <row r="504" spans="2:19">
      <c r="B504" s="12"/>
      <c r="O504"/>
    </row>
    <row r="505" spans="2:19">
      <c r="B505" s="12"/>
      <c r="O505"/>
    </row>
    <row r="506" spans="2:19">
      <c r="B506" s="12"/>
      <c r="O506"/>
    </row>
    <row r="507" spans="2:19">
      <c r="B507" s="12"/>
      <c r="O507"/>
    </row>
    <row r="508" spans="2:19">
      <c r="B508" s="12"/>
      <c r="O508"/>
    </row>
    <row r="509" spans="2:19">
      <c r="B509" s="12"/>
      <c r="O509"/>
    </row>
    <row r="510" spans="2:19">
      <c r="B510" s="12"/>
      <c r="O510"/>
    </row>
    <row r="511" spans="2:19">
      <c r="B511" s="12"/>
      <c r="O511"/>
    </row>
    <row r="512" spans="2:19">
      <c r="B512" s="12"/>
      <c r="O512"/>
    </row>
    <row r="513" spans="2:15">
      <c r="B513" s="12"/>
      <c r="O513"/>
    </row>
    <row r="514" spans="2:15">
      <c r="B514" s="12"/>
      <c r="O514"/>
    </row>
    <row r="515" spans="2:15">
      <c r="B515" s="12"/>
      <c r="O515"/>
    </row>
    <row r="516" spans="2:15">
      <c r="B516" s="12"/>
      <c r="O516"/>
    </row>
    <row r="517" spans="2:15">
      <c r="B517" s="12"/>
      <c r="O517"/>
    </row>
    <row r="518" spans="2:15">
      <c r="B518" s="12"/>
      <c r="O518"/>
    </row>
    <row r="519" spans="2:15">
      <c r="B519" s="12"/>
      <c r="O519"/>
    </row>
    <row r="520" spans="2:15">
      <c r="B520" s="12"/>
      <c r="O520"/>
    </row>
    <row r="521" spans="2:15">
      <c r="B521" s="12"/>
      <c r="O521"/>
    </row>
    <row r="522" spans="2:15">
      <c r="B522" s="12"/>
      <c r="O522"/>
    </row>
    <row r="523" spans="2:15">
      <c r="B523" s="12"/>
      <c r="O523"/>
    </row>
    <row r="524" spans="2:15">
      <c r="B524" s="12"/>
      <c r="O524"/>
    </row>
    <row r="525" spans="2:15">
      <c r="B525" s="12"/>
      <c r="O525"/>
    </row>
    <row r="526" spans="2:15">
      <c r="B526" s="12"/>
      <c r="O526"/>
    </row>
    <row r="527" spans="2:15">
      <c r="B527" s="12"/>
      <c r="O527"/>
    </row>
    <row r="528" spans="2:15">
      <c r="B528" s="12"/>
      <c r="O528"/>
    </row>
    <row r="529" spans="2:15">
      <c r="B529" s="12"/>
      <c r="O529"/>
    </row>
    <row r="530" spans="2:15">
      <c r="B530" s="12"/>
      <c r="O530"/>
    </row>
    <row r="531" spans="2:15">
      <c r="B531" s="12"/>
      <c r="O531"/>
    </row>
    <row r="532" spans="2:15">
      <c r="B532" s="12"/>
      <c r="O532"/>
    </row>
    <row r="533" spans="2:15">
      <c r="B533" s="12"/>
      <c r="O533"/>
    </row>
    <row r="534" spans="2:15">
      <c r="B534" s="12"/>
      <c r="O534"/>
    </row>
    <row r="535" spans="2:15">
      <c r="B535" s="12"/>
      <c r="O535"/>
    </row>
    <row r="536" spans="2:15">
      <c r="B536" s="12"/>
      <c r="O536"/>
    </row>
    <row r="537" spans="2:15">
      <c r="B537" s="12"/>
      <c r="O537"/>
    </row>
    <row r="538" spans="2:15">
      <c r="B538" s="12"/>
      <c r="O538"/>
    </row>
    <row r="539" spans="2:15">
      <c r="B539" s="12"/>
      <c r="O539"/>
    </row>
    <row r="540" spans="2:15">
      <c r="B540" s="12"/>
      <c r="O540"/>
    </row>
    <row r="541" spans="2:15">
      <c r="B541" s="12"/>
      <c r="O541"/>
    </row>
    <row r="542" spans="2:15">
      <c r="B542" s="12"/>
      <c r="O542"/>
    </row>
    <row r="543" spans="2:15">
      <c r="B543" s="12"/>
      <c r="O543"/>
    </row>
    <row r="544" spans="2:15">
      <c r="B544" s="12"/>
      <c r="O544"/>
    </row>
    <row r="545" spans="2:15">
      <c r="B545" s="12"/>
      <c r="O545"/>
    </row>
    <row r="546" spans="2:15">
      <c r="B546" s="12"/>
      <c r="O546"/>
    </row>
    <row r="547" spans="2:15">
      <c r="B547" s="12"/>
      <c r="O547"/>
    </row>
    <row r="548" spans="2:15">
      <c r="B548" s="12"/>
      <c r="O548"/>
    </row>
    <row r="549" spans="2:15">
      <c r="B549" s="12"/>
      <c r="O549"/>
    </row>
    <row r="550" spans="2:15">
      <c r="B550" s="12"/>
      <c r="O550"/>
    </row>
    <row r="551" spans="2:15">
      <c r="B551" s="12"/>
      <c r="O551"/>
    </row>
    <row r="552" spans="2:15">
      <c r="B552" s="12"/>
      <c r="O552"/>
    </row>
    <row r="553" spans="2:15">
      <c r="B553" s="12"/>
      <c r="O553"/>
    </row>
    <row r="554" spans="2:15">
      <c r="B554" s="12"/>
      <c r="O554"/>
    </row>
    <row r="555" spans="2:15">
      <c r="B555" s="12"/>
      <c r="O555"/>
    </row>
    <row r="556" spans="2:15">
      <c r="B556" s="12"/>
      <c r="O556"/>
    </row>
    <row r="557" spans="2:15">
      <c r="B557" s="12"/>
      <c r="O557"/>
    </row>
    <row r="558" spans="2:15">
      <c r="B558" s="12"/>
      <c r="O558"/>
    </row>
    <row r="559" spans="2:15">
      <c r="B559" s="12"/>
      <c r="O559"/>
    </row>
    <row r="560" spans="2:15">
      <c r="B560" s="12"/>
      <c r="O560"/>
    </row>
    <row r="561" spans="2:15">
      <c r="B561" s="12"/>
      <c r="O561"/>
    </row>
    <row r="562" spans="2:15">
      <c r="B562" s="12"/>
      <c r="O562"/>
    </row>
    <row r="563" spans="2:15">
      <c r="B563" s="12"/>
      <c r="O563"/>
    </row>
    <row r="564" spans="2:15">
      <c r="B564" s="12"/>
      <c r="O564"/>
    </row>
    <row r="565" spans="2:15">
      <c r="B565" s="12"/>
      <c r="O565"/>
    </row>
    <row r="566" spans="2:15">
      <c r="B566" s="12"/>
      <c r="O566"/>
    </row>
    <row r="567" spans="2:15">
      <c r="B567" s="12"/>
      <c r="O567"/>
    </row>
    <row r="568" spans="2:15">
      <c r="B568" s="12"/>
      <c r="O568"/>
    </row>
    <row r="569" spans="2:15">
      <c r="B569" s="12"/>
      <c r="O569"/>
    </row>
    <row r="570" spans="2:15">
      <c r="B570" s="12"/>
      <c r="O570"/>
    </row>
    <row r="571" spans="2:15">
      <c r="B571" s="12"/>
      <c r="O571"/>
    </row>
    <row r="572" spans="2:15">
      <c r="B572" s="12"/>
      <c r="O572"/>
    </row>
    <row r="573" spans="2:15">
      <c r="B573" s="12"/>
      <c r="O573"/>
    </row>
    <row r="574" spans="2:15">
      <c r="B574" s="12"/>
      <c r="O574"/>
    </row>
    <row r="575" spans="2:15">
      <c r="B575" s="12"/>
      <c r="O575"/>
    </row>
    <row r="576" spans="2:15">
      <c r="B576" s="12"/>
      <c r="O576"/>
    </row>
    <row r="577" spans="2:15">
      <c r="B577" s="12"/>
      <c r="O577"/>
    </row>
    <row r="578" spans="2:15">
      <c r="B578" s="12"/>
      <c r="O578"/>
    </row>
    <row r="579" spans="2:15">
      <c r="B579" s="12"/>
      <c r="O579"/>
    </row>
    <row r="580" spans="2:15">
      <c r="B580" s="12"/>
      <c r="O580"/>
    </row>
    <row r="581" spans="2:15">
      <c r="B581" s="12"/>
      <c r="O581"/>
    </row>
    <row r="582" spans="2:15">
      <c r="B582" s="12"/>
      <c r="O582"/>
    </row>
    <row r="583" spans="2:15">
      <c r="B583" s="12"/>
      <c r="O583"/>
    </row>
    <row r="584" spans="2:15">
      <c r="B584" s="12"/>
      <c r="O584"/>
    </row>
    <row r="585" spans="2:15">
      <c r="B585" s="12"/>
      <c r="O585"/>
    </row>
    <row r="586" spans="2:15">
      <c r="B586" s="12"/>
      <c r="O586"/>
    </row>
    <row r="587" spans="2:15">
      <c r="B587" s="12"/>
      <c r="O587"/>
    </row>
    <row r="588" spans="2:15">
      <c r="B588" s="12"/>
      <c r="O588"/>
    </row>
    <row r="589" spans="2:15">
      <c r="B589" s="12"/>
      <c r="O589"/>
    </row>
    <row r="590" spans="2:15">
      <c r="B590" s="12"/>
      <c r="O590"/>
    </row>
    <row r="591" spans="2:15">
      <c r="B591" s="12"/>
      <c r="O591"/>
    </row>
    <row r="592" spans="2:15">
      <c r="B592" s="12"/>
      <c r="O592"/>
    </row>
    <row r="593" spans="2:15">
      <c r="B593" s="12"/>
      <c r="O593"/>
    </row>
    <row r="594" spans="2:15">
      <c r="B594" s="12"/>
      <c r="O594"/>
    </row>
    <row r="595" spans="2:15">
      <c r="B595" s="12"/>
      <c r="O595"/>
    </row>
    <row r="596" spans="2:15">
      <c r="B596" s="12"/>
      <c r="O596"/>
    </row>
    <row r="597" spans="2:15">
      <c r="B597" s="12"/>
      <c r="O597"/>
    </row>
    <row r="598" spans="2:15">
      <c r="B598" s="12"/>
      <c r="O598"/>
    </row>
    <row r="599" spans="2:15">
      <c r="B599" s="12"/>
      <c r="O599"/>
    </row>
    <row r="600" spans="2:15">
      <c r="B600" s="12"/>
      <c r="O600"/>
    </row>
    <row r="601" spans="2:15">
      <c r="B601" s="12"/>
      <c r="O601"/>
    </row>
    <row r="602" spans="2:15">
      <c r="B602" s="12"/>
      <c r="O602"/>
    </row>
    <row r="603" spans="2:15">
      <c r="B603" s="12"/>
      <c r="O603"/>
    </row>
    <row r="604" spans="2:15">
      <c r="B604" s="12"/>
      <c r="O604"/>
    </row>
    <row r="605" spans="2:15">
      <c r="B605" s="12"/>
      <c r="O605"/>
    </row>
    <row r="606" spans="2:15">
      <c r="B606" s="12"/>
      <c r="O606"/>
    </row>
    <row r="607" spans="2:15">
      <c r="B607" s="12"/>
      <c r="O607"/>
    </row>
    <row r="608" spans="2:15">
      <c r="B608" s="12"/>
      <c r="O608"/>
    </row>
    <row r="609" spans="2:15">
      <c r="B609" s="12"/>
      <c r="O609"/>
    </row>
    <row r="610" spans="2:15">
      <c r="B610" s="12"/>
      <c r="O610"/>
    </row>
    <row r="611" spans="2:15">
      <c r="B611" s="12"/>
      <c r="O611"/>
    </row>
    <row r="612" spans="2:15">
      <c r="B612" s="12"/>
      <c r="O612"/>
    </row>
    <row r="613" spans="2:15">
      <c r="B613" s="12"/>
      <c r="O613"/>
    </row>
    <row r="614" spans="2:15">
      <c r="B614" s="12"/>
      <c r="O614"/>
    </row>
    <row r="615" spans="2:15">
      <c r="B615" s="12"/>
      <c r="O615"/>
    </row>
    <row r="616" spans="2:15">
      <c r="B616" s="12"/>
      <c r="O616"/>
    </row>
    <row r="617" spans="2:15">
      <c r="B617" s="12"/>
      <c r="O617"/>
    </row>
    <row r="618" spans="2:15">
      <c r="B618" s="12"/>
      <c r="O618"/>
    </row>
    <row r="619" spans="2:15">
      <c r="B619" s="12"/>
      <c r="O619"/>
    </row>
    <row r="620" spans="2:15">
      <c r="B620" s="12"/>
      <c r="O620"/>
    </row>
    <row r="621" spans="2:15">
      <c r="B621" s="12"/>
      <c r="O621"/>
    </row>
    <row r="622" spans="2:15">
      <c r="B622" s="12"/>
      <c r="O622"/>
    </row>
    <row r="623" spans="2:15">
      <c r="B623" s="12"/>
      <c r="O623"/>
    </row>
    <row r="624" spans="2:15">
      <c r="B624" s="12"/>
      <c r="O624"/>
    </row>
    <row r="625" spans="2:15">
      <c r="B625" s="12"/>
      <c r="O625"/>
    </row>
    <row r="626" spans="2:15">
      <c r="B626" s="12"/>
      <c r="O626"/>
    </row>
    <row r="627" spans="2:15">
      <c r="B627" s="12"/>
      <c r="O627"/>
    </row>
    <row r="628" spans="2:15">
      <c r="B628" s="12"/>
      <c r="O628"/>
    </row>
    <row r="629" spans="2:15">
      <c r="B629" s="12"/>
      <c r="O629"/>
    </row>
    <row r="630" spans="2:15">
      <c r="B630" s="12"/>
      <c r="O630"/>
    </row>
    <row r="631" spans="2:15">
      <c r="B631" s="12"/>
      <c r="O631"/>
    </row>
    <row r="632" spans="2:15">
      <c r="B632" s="12"/>
      <c r="O632"/>
    </row>
    <row r="633" spans="2:15">
      <c r="B633" s="12"/>
      <c r="O633"/>
    </row>
    <row r="634" spans="2:15">
      <c r="B634" s="12"/>
      <c r="O634"/>
    </row>
    <row r="635" spans="2:15">
      <c r="B635" s="12"/>
      <c r="O635"/>
    </row>
    <row r="636" spans="2:15">
      <c r="B636" s="12"/>
      <c r="O636"/>
    </row>
    <row r="637" spans="2:15">
      <c r="B637" s="12"/>
      <c r="O637"/>
    </row>
    <row r="638" spans="2:15">
      <c r="B638" s="12"/>
      <c r="O638"/>
    </row>
    <row r="639" spans="2:15">
      <c r="B639" s="12"/>
      <c r="O639"/>
    </row>
    <row r="640" spans="2:15">
      <c r="B640" s="12"/>
      <c r="O640"/>
    </row>
    <row r="641" spans="2:15">
      <c r="B641" s="12"/>
      <c r="O641"/>
    </row>
    <row r="642" spans="2:15">
      <c r="B642" s="12"/>
      <c r="O642"/>
    </row>
    <row r="643" spans="2:15">
      <c r="B643" s="12"/>
      <c r="O643"/>
    </row>
    <row r="644" spans="2:15">
      <c r="B644" s="12"/>
      <c r="O644"/>
    </row>
    <row r="645" spans="2:15">
      <c r="B645" s="12"/>
      <c r="O645"/>
    </row>
    <row r="646" spans="2:15">
      <c r="B646" s="12"/>
      <c r="O646"/>
    </row>
    <row r="647" spans="2:15">
      <c r="B647" s="12"/>
      <c r="O647"/>
    </row>
    <row r="648" spans="2:15">
      <c r="B648" s="12"/>
      <c r="O648"/>
    </row>
    <row r="649" spans="2:15">
      <c r="B649" s="12"/>
      <c r="O649"/>
    </row>
    <row r="650" spans="2:15">
      <c r="B650" s="12"/>
      <c r="O650"/>
    </row>
    <row r="651" spans="2:15">
      <c r="B651" s="12"/>
      <c r="O651"/>
    </row>
    <row r="652" spans="2:15">
      <c r="B652" s="12"/>
      <c r="O652"/>
    </row>
    <row r="653" spans="2:15">
      <c r="B653" s="12"/>
      <c r="O653"/>
    </row>
    <row r="654" spans="2:15">
      <c r="B654" s="12"/>
      <c r="O654"/>
    </row>
    <row r="655" spans="2:15">
      <c r="B655" s="12"/>
      <c r="O655"/>
    </row>
    <row r="656" spans="2:15">
      <c r="B656" s="12"/>
      <c r="O656"/>
    </row>
    <row r="657" spans="2:15">
      <c r="B657" s="12"/>
      <c r="O657"/>
    </row>
    <row r="658" spans="2:15">
      <c r="B658" s="12"/>
      <c r="O658"/>
    </row>
    <row r="659" spans="2:15">
      <c r="B659" s="12"/>
      <c r="O659"/>
    </row>
    <row r="660" spans="2:15">
      <c r="B660" s="12"/>
      <c r="O660"/>
    </row>
    <row r="661" spans="2:15">
      <c r="B661" s="12"/>
      <c r="O661"/>
    </row>
    <row r="662" spans="2:15">
      <c r="B662" s="12"/>
      <c r="O662"/>
    </row>
    <row r="663" spans="2:15">
      <c r="B663" s="12"/>
      <c r="O663"/>
    </row>
    <row r="664" spans="2:15">
      <c r="B664" s="12"/>
      <c r="O664"/>
    </row>
    <row r="665" spans="2:15">
      <c r="B665" s="12"/>
      <c r="O665"/>
    </row>
    <row r="666" spans="2:15">
      <c r="B666" s="12"/>
      <c r="O666"/>
    </row>
    <row r="667" spans="2:15">
      <c r="B667" s="12"/>
      <c r="O667"/>
    </row>
    <row r="668" spans="2:15">
      <c r="B668" s="12"/>
      <c r="O668"/>
    </row>
    <row r="669" spans="2:15">
      <c r="B669" s="12"/>
      <c r="O669"/>
    </row>
    <row r="670" spans="2:15">
      <c r="B670" s="12"/>
      <c r="O670"/>
    </row>
    <row r="671" spans="2:15">
      <c r="B671" s="12"/>
      <c r="O671"/>
    </row>
    <row r="672" spans="2:15">
      <c r="B672" s="12"/>
      <c r="O672"/>
    </row>
    <row r="673" spans="2:15">
      <c r="B673" s="12"/>
      <c r="O673"/>
    </row>
    <row r="674" spans="2:15">
      <c r="B674" s="12"/>
      <c r="O674"/>
    </row>
    <row r="675" spans="2:15">
      <c r="B675" s="12"/>
      <c r="O675"/>
    </row>
    <row r="676" spans="2:15">
      <c r="B676" s="12"/>
      <c r="O676"/>
    </row>
    <row r="677" spans="2:15">
      <c r="B677" s="12"/>
      <c r="O677"/>
    </row>
    <row r="678" spans="2:15">
      <c r="B678" s="12"/>
      <c r="O678"/>
    </row>
    <row r="679" spans="2:15">
      <c r="B679" s="12"/>
      <c r="O679"/>
    </row>
    <row r="680" spans="2:15">
      <c r="B680" s="12"/>
      <c r="O680"/>
    </row>
    <row r="681" spans="2:15">
      <c r="B681" s="12"/>
      <c r="O681"/>
    </row>
    <row r="682" spans="2:15">
      <c r="B682" s="12"/>
      <c r="O682"/>
    </row>
    <row r="683" spans="2:15">
      <c r="B683" s="12"/>
      <c r="O683"/>
    </row>
    <row r="684" spans="2:15">
      <c r="B684" s="12"/>
      <c r="O684"/>
    </row>
    <row r="685" spans="2:15">
      <c r="B685" s="12"/>
      <c r="O685"/>
    </row>
    <row r="686" spans="2:15">
      <c r="B686" s="12"/>
      <c r="O686"/>
    </row>
    <row r="687" spans="2:15">
      <c r="B687" s="12"/>
      <c r="O687"/>
    </row>
    <row r="688" spans="2:15">
      <c r="B688" s="12"/>
      <c r="O688"/>
    </row>
    <row r="689" spans="2:15">
      <c r="B689" s="12"/>
      <c r="O689"/>
    </row>
    <row r="690" spans="2:15">
      <c r="B690" s="12"/>
      <c r="O690"/>
    </row>
    <row r="691" spans="2:15">
      <c r="B691" s="12"/>
      <c r="O691"/>
    </row>
    <row r="692" spans="2:15">
      <c r="B692" s="12"/>
      <c r="O692"/>
    </row>
    <row r="693" spans="2:15">
      <c r="B693" s="12"/>
      <c r="O693"/>
    </row>
    <row r="694" spans="2:15">
      <c r="B694" s="12"/>
      <c r="O694"/>
    </row>
    <row r="695" spans="2:15">
      <c r="B695" s="12"/>
      <c r="O695"/>
    </row>
    <row r="696" spans="2:15">
      <c r="B696" s="12"/>
      <c r="O696"/>
    </row>
    <row r="697" spans="2:15">
      <c r="B697" s="12"/>
      <c r="O697"/>
    </row>
    <row r="698" spans="2:15">
      <c r="B698" s="12"/>
      <c r="O698"/>
    </row>
    <row r="699" spans="2:15">
      <c r="B699" s="12"/>
      <c r="O699"/>
    </row>
    <row r="700" spans="2:15">
      <c r="B700" s="12"/>
      <c r="O700"/>
    </row>
    <row r="701" spans="2:15">
      <c r="B701" s="12"/>
      <c r="O701"/>
    </row>
    <row r="702" spans="2:15">
      <c r="B702" s="12"/>
      <c r="O702"/>
    </row>
    <row r="703" spans="2:15">
      <c r="B703" s="12"/>
      <c r="O703"/>
    </row>
    <row r="704" spans="2:15">
      <c r="B704" s="12"/>
      <c r="O704"/>
    </row>
    <row r="705" spans="2:15">
      <c r="B705" s="12"/>
      <c r="O705"/>
    </row>
    <row r="706" spans="2:15">
      <c r="B706" s="12"/>
      <c r="O706"/>
    </row>
    <row r="707" spans="2:15">
      <c r="B707" s="12"/>
      <c r="O707"/>
    </row>
    <row r="708" spans="2:15">
      <c r="B708" s="12"/>
      <c r="O708"/>
    </row>
    <row r="709" spans="2:15">
      <c r="B709" s="12"/>
      <c r="O709"/>
    </row>
    <row r="710" spans="2:15">
      <c r="B710" s="12"/>
      <c r="O710"/>
    </row>
    <row r="711" spans="2:15">
      <c r="B711" s="12"/>
      <c r="O711"/>
    </row>
    <row r="712" spans="2:15">
      <c r="B712" s="12"/>
      <c r="O712"/>
    </row>
    <row r="713" spans="2:15">
      <c r="B713" s="12"/>
      <c r="O713"/>
    </row>
    <row r="714" spans="2:15">
      <c r="B714" s="12"/>
      <c r="O714"/>
    </row>
    <row r="715" spans="2:15">
      <c r="B715" s="12"/>
      <c r="O715"/>
    </row>
    <row r="716" spans="2:15">
      <c r="B716" s="12"/>
      <c r="O716"/>
    </row>
    <row r="717" spans="2:15">
      <c r="B717" s="12"/>
      <c r="O717"/>
    </row>
    <row r="718" spans="2:15">
      <c r="B718" s="12"/>
      <c r="O718"/>
    </row>
    <row r="719" spans="2:15">
      <c r="B719" s="12"/>
      <c r="O719"/>
    </row>
    <row r="720" spans="2:15">
      <c r="B720" s="12"/>
      <c r="O720"/>
    </row>
    <row r="721" spans="2:15">
      <c r="B721" s="12"/>
      <c r="O721"/>
    </row>
    <row r="722" spans="2:15">
      <c r="B722" s="12"/>
      <c r="O722"/>
    </row>
    <row r="723" spans="2:15">
      <c r="B723" s="12"/>
      <c r="O723"/>
    </row>
    <row r="724" spans="2:15">
      <c r="B724" s="12"/>
      <c r="O724"/>
    </row>
    <row r="725" spans="2:15">
      <c r="B725" s="12"/>
      <c r="O725"/>
    </row>
    <row r="726" spans="2:15">
      <c r="B726" s="12"/>
      <c r="O726"/>
    </row>
    <row r="727" spans="2:15">
      <c r="B727" s="12"/>
      <c r="O727"/>
    </row>
    <row r="728" spans="2:15">
      <c r="B728" s="12"/>
      <c r="O728"/>
    </row>
    <row r="729" spans="2:15">
      <c r="B729" s="12"/>
      <c r="O729"/>
    </row>
    <row r="730" spans="2:15">
      <c r="B730" s="12"/>
      <c r="O730"/>
    </row>
    <row r="731" spans="2:15">
      <c r="B731" s="12"/>
      <c r="O731"/>
    </row>
    <row r="732" spans="2:15">
      <c r="B732" s="12"/>
      <c r="O732"/>
    </row>
    <row r="733" spans="2:15">
      <c r="B733" s="12"/>
      <c r="O733"/>
    </row>
    <row r="734" spans="2:15">
      <c r="B734" s="12"/>
      <c r="O734"/>
    </row>
    <row r="735" spans="2:15">
      <c r="B735" s="12"/>
      <c r="O735"/>
    </row>
    <row r="736" spans="2:15">
      <c r="B736" s="12"/>
      <c r="O736"/>
    </row>
    <row r="737" spans="2:15">
      <c r="B737" s="12"/>
      <c r="O737"/>
    </row>
    <row r="738" spans="2:15">
      <c r="B738" s="12"/>
      <c r="O738"/>
    </row>
    <row r="739" spans="2:15">
      <c r="B739" s="12"/>
      <c r="O739"/>
    </row>
    <row r="740" spans="2:15">
      <c r="B740" s="12"/>
      <c r="O740"/>
    </row>
    <row r="741" spans="2:15">
      <c r="B741" s="12"/>
      <c r="O741"/>
    </row>
    <row r="742" spans="2:15">
      <c r="B742" s="12"/>
      <c r="O742"/>
    </row>
    <row r="743" spans="2:15">
      <c r="B743" s="12"/>
      <c r="O743"/>
    </row>
    <row r="744" spans="2:15">
      <c r="B744" s="12"/>
      <c r="O744"/>
    </row>
    <row r="745" spans="2:15">
      <c r="B745" s="12"/>
      <c r="O745"/>
    </row>
    <row r="746" spans="2:15">
      <c r="B746" s="12"/>
      <c r="O746"/>
    </row>
    <row r="747" spans="2:15">
      <c r="B747" s="12"/>
      <c r="O747"/>
    </row>
    <row r="748" spans="2:15">
      <c r="B748" s="12"/>
      <c r="O748"/>
    </row>
    <row r="749" spans="2:15">
      <c r="B749" s="12"/>
      <c r="O749"/>
    </row>
    <row r="750" spans="2:15">
      <c r="B750" s="12"/>
      <c r="O750"/>
    </row>
    <row r="751" spans="2:15">
      <c r="B751" s="12"/>
      <c r="O751"/>
    </row>
    <row r="752" spans="2:15">
      <c r="B752" s="12"/>
      <c r="O752"/>
    </row>
    <row r="753" spans="2:15">
      <c r="B753" s="12"/>
      <c r="O753"/>
    </row>
    <row r="754" spans="2:15">
      <c r="B754" s="12"/>
      <c r="O754"/>
    </row>
    <row r="755" spans="2:15">
      <c r="B755" s="12"/>
      <c r="O755"/>
    </row>
    <row r="756" spans="2:15">
      <c r="B756" s="12"/>
      <c r="O756"/>
    </row>
    <row r="757" spans="2:15">
      <c r="B757" s="12"/>
      <c r="O757"/>
    </row>
    <row r="758" spans="2:15">
      <c r="B758" s="12"/>
      <c r="O758"/>
    </row>
    <row r="759" spans="2:15">
      <c r="B759" s="12"/>
      <c r="O759"/>
    </row>
    <row r="760" spans="2:15">
      <c r="B760" s="12"/>
      <c r="O760"/>
    </row>
    <row r="761" spans="2:15">
      <c r="B761" s="12"/>
      <c r="O761"/>
    </row>
    <row r="762" spans="2:15">
      <c r="B762" s="12"/>
      <c r="O762"/>
    </row>
    <row r="763" spans="2:15">
      <c r="B763" s="12"/>
      <c r="O763"/>
    </row>
    <row r="764" spans="2:15">
      <c r="B764" s="12"/>
      <c r="O764"/>
    </row>
    <row r="765" spans="2:15">
      <c r="B765" s="12"/>
      <c r="O765"/>
    </row>
    <row r="766" spans="2:15">
      <c r="B766" s="12"/>
      <c r="O766"/>
    </row>
    <row r="767" spans="2:15">
      <c r="B767" s="12"/>
      <c r="O767"/>
    </row>
    <row r="768" spans="2:15">
      <c r="B768" s="12"/>
      <c r="O768"/>
    </row>
    <row r="769" spans="2:15">
      <c r="B769" s="12"/>
      <c r="O769"/>
    </row>
    <row r="770" spans="2:15">
      <c r="B770" s="12"/>
      <c r="O770"/>
    </row>
    <row r="771" spans="2:15">
      <c r="B771" s="12"/>
      <c r="O771"/>
    </row>
    <row r="772" spans="2:15">
      <c r="B772" s="12"/>
      <c r="O772"/>
    </row>
    <row r="773" spans="2:15">
      <c r="B773" s="12"/>
      <c r="O773"/>
    </row>
    <row r="774" spans="2:15">
      <c r="B774" s="12"/>
      <c r="O774"/>
    </row>
    <row r="775" spans="2:15">
      <c r="B775" s="12"/>
      <c r="O775"/>
    </row>
    <row r="776" spans="2:15">
      <c r="B776" s="12"/>
      <c r="O776"/>
    </row>
    <row r="777" spans="2:15">
      <c r="B777" s="12"/>
      <c r="O777"/>
    </row>
    <row r="778" spans="2:15">
      <c r="B778" s="12"/>
      <c r="O778"/>
    </row>
    <row r="779" spans="2:15">
      <c r="B779" s="12"/>
      <c r="O779"/>
    </row>
    <row r="780" spans="2:15">
      <c r="B780" s="12"/>
      <c r="O780"/>
    </row>
    <row r="781" spans="2:15">
      <c r="B781" s="12"/>
      <c r="O781"/>
    </row>
    <row r="782" spans="2:15">
      <c r="B782" s="12"/>
      <c r="O782"/>
    </row>
    <row r="783" spans="2:15">
      <c r="B783" s="12"/>
      <c r="O783"/>
    </row>
    <row r="784" spans="2:15">
      <c r="B784" s="12"/>
      <c r="O784"/>
    </row>
    <row r="785" spans="2:15">
      <c r="B785" s="12"/>
      <c r="O785"/>
    </row>
    <row r="786" spans="2:15">
      <c r="B786" s="12"/>
      <c r="O786"/>
    </row>
    <row r="787" spans="2:15">
      <c r="B787" s="12"/>
      <c r="O787"/>
    </row>
    <row r="788" spans="2:15">
      <c r="B788" s="12"/>
      <c r="O788"/>
    </row>
    <row r="789" spans="2:15">
      <c r="B789" s="12"/>
      <c r="O789"/>
    </row>
    <row r="790" spans="2:15">
      <c r="B790" s="12"/>
      <c r="O790"/>
    </row>
    <row r="791" spans="2:15">
      <c r="B791" s="12"/>
      <c r="O791"/>
    </row>
    <row r="792" spans="2:15">
      <c r="B792" s="12"/>
      <c r="O792"/>
    </row>
    <row r="793" spans="2:15">
      <c r="B793" s="12"/>
      <c r="O793"/>
    </row>
    <row r="794" spans="2:15">
      <c r="B794" s="12"/>
      <c r="O794"/>
    </row>
    <row r="795" spans="2:15">
      <c r="B795" s="12"/>
      <c r="O795"/>
    </row>
    <row r="796" spans="2:15">
      <c r="B796" s="12"/>
      <c r="O796"/>
    </row>
    <row r="797" spans="2:15">
      <c r="B797" s="12"/>
      <c r="O797"/>
    </row>
    <row r="798" spans="2:15">
      <c r="B798" s="12"/>
      <c r="O798"/>
    </row>
    <row r="799" spans="2:15">
      <c r="B799" s="12"/>
      <c r="O799"/>
    </row>
    <row r="800" spans="2:15">
      <c r="B800" s="12"/>
      <c r="O800"/>
    </row>
    <row r="801" spans="2:15">
      <c r="B801" s="12"/>
      <c r="O801"/>
    </row>
    <row r="802" spans="2:15">
      <c r="B802" s="12"/>
      <c r="O802"/>
    </row>
    <row r="803" spans="2:15">
      <c r="B803" s="12"/>
      <c r="O803"/>
    </row>
    <row r="804" spans="2:15">
      <c r="B804" s="12"/>
      <c r="O804"/>
    </row>
    <row r="805" spans="2:15">
      <c r="B805" s="12"/>
      <c r="O805"/>
    </row>
    <row r="806" spans="2:15">
      <c r="B806" s="12"/>
      <c r="O806"/>
    </row>
    <row r="807" spans="2:15">
      <c r="B807" s="12"/>
      <c r="O807"/>
    </row>
    <row r="808" spans="2:15">
      <c r="B808" s="12"/>
      <c r="O808"/>
    </row>
    <row r="809" spans="2:15">
      <c r="B809" s="12"/>
      <c r="O809"/>
    </row>
    <row r="810" spans="2:15">
      <c r="B810" s="12"/>
      <c r="O810"/>
    </row>
    <row r="811" spans="2:15">
      <c r="B811" s="12"/>
      <c r="O811"/>
    </row>
    <row r="812" spans="2:15">
      <c r="B812" s="12"/>
      <c r="O812"/>
    </row>
    <row r="813" spans="2:15">
      <c r="B813" s="12"/>
      <c r="O813"/>
    </row>
    <row r="814" spans="2:15">
      <c r="B814" s="12"/>
      <c r="O814"/>
    </row>
    <row r="815" spans="2:15">
      <c r="B815" s="12"/>
      <c r="O815"/>
    </row>
    <row r="816" spans="2:15">
      <c r="B816" s="12"/>
      <c r="O816"/>
    </row>
    <row r="817" spans="2:15">
      <c r="B817" s="12"/>
      <c r="O817"/>
    </row>
    <row r="818" spans="2:15">
      <c r="B818" s="12"/>
      <c r="O818"/>
    </row>
    <row r="819" spans="2:15">
      <c r="B819" s="12"/>
      <c r="O819"/>
    </row>
    <row r="820" spans="2:15">
      <c r="B820" s="12"/>
      <c r="O820"/>
    </row>
    <row r="821" spans="2:15">
      <c r="B821" s="12"/>
    </row>
    <row r="822" spans="2:15">
      <c r="B822" s="12"/>
    </row>
    <row r="823" spans="2:15">
      <c r="B823" s="12"/>
    </row>
    <row r="824" spans="2:15">
      <c r="B824" s="12"/>
    </row>
    <row r="825" spans="2:15">
      <c r="B825" s="12"/>
    </row>
    <row r="826" spans="2:15">
      <c r="B826" s="12"/>
    </row>
    <row r="827" spans="2:15">
      <c r="B827" s="12"/>
    </row>
    <row r="828" spans="2:15">
      <c r="B828" s="12"/>
    </row>
    <row r="829" spans="2:15">
      <c r="B829" s="12"/>
    </row>
    <row r="830" spans="2:15">
      <c r="B830" s="12"/>
    </row>
    <row r="831" spans="2:15">
      <c r="B831" s="12"/>
    </row>
    <row r="832" spans="2:15">
      <c r="B832" s="12"/>
    </row>
    <row r="833" spans="2:15">
      <c r="B833" s="12"/>
    </row>
    <row r="834" spans="2:15">
      <c r="B834" s="12"/>
    </row>
    <row r="835" spans="2:15">
      <c r="B835" s="12"/>
    </row>
    <row r="836" spans="2:15">
      <c r="B836" s="12"/>
    </row>
    <row r="837" spans="2:15">
      <c r="B837" s="12"/>
    </row>
    <row r="838" spans="2:15">
      <c r="B838" s="12"/>
    </row>
    <row r="839" spans="2:15">
      <c r="B839" s="12"/>
    </row>
    <row r="840" spans="2:15">
      <c r="B840" s="12"/>
    </row>
    <row r="841" spans="2:15">
      <c r="B841" s="12"/>
    </row>
    <row r="842" spans="2:15">
      <c r="B842" s="12"/>
    </row>
    <row r="843" spans="2:15">
      <c r="B843" s="12"/>
    </row>
    <row r="844" spans="2:15">
      <c r="B844" s="12"/>
    </row>
    <row r="845" spans="2:15">
      <c r="B845" s="12"/>
    </row>
    <row r="846" spans="2:15">
      <c r="B846" s="12"/>
    </row>
    <row r="847" spans="2:15">
      <c r="B847" s="12"/>
    </row>
    <row r="848" spans="2:15" ht="15" customHeight="1">
      <c r="B848" s="19" t="s">
        <v>104</v>
      </c>
      <c r="C848" s="19" t="s">
        <v>105</v>
      </c>
      <c r="D848" s="19"/>
      <c r="E848" s="19" t="s">
        <v>106</v>
      </c>
      <c r="F848" s="19" t="s">
        <v>107</v>
      </c>
      <c r="G848" s="19" t="s">
        <v>108</v>
      </c>
      <c r="H848" s="19" t="s">
        <v>109</v>
      </c>
      <c r="I848" s="118" t="s">
        <v>1855</v>
      </c>
      <c r="K848" s="11"/>
      <c r="O848" s="57"/>
    </row>
    <row r="849" spans="2:15">
      <c r="B849" s="20">
        <v>92584</v>
      </c>
      <c r="C849" s="20" t="s">
        <v>110</v>
      </c>
      <c r="D849" s="20">
        <f t="shared" ref="D849:D880" si="15">IF($D$1=1,E:E,IF($D$1=2,F:F,IF($D$1=3,G:G,IF($D$1=4,H:H,IF($D$1=5,I:I)))))</f>
        <v>10</v>
      </c>
      <c r="E849" s="21">
        <v>10</v>
      </c>
      <c r="F849" s="17">
        <v>0.38059999999999999</v>
      </c>
      <c r="G849" s="17">
        <v>1.3332999999999999</v>
      </c>
      <c r="H849" s="17">
        <v>86.956500000000005</v>
      </c>
      <c r="K849" s="11"/>
      <c r="O849" s="57"/>
    </row>
    <row r="850" spans="2:15">
      <c r="B850" s="20">
        <v>92585</v>
      </c>
      <c r="C850" s="20" t="s">
        <v>111</v>
      </c>
      <c r="D850" s="20">
        <f t="shared" si="15"/>
        <v>10</v>
      </c>
      <c r="E850" s="21">
        <v>10</v>
      </c>
      <c r="F850" s="17">
        <v>0.38059999999999999</v>
      </c>
      <c r="G850" s="17">
        <v>1.3332999999999999</v>
      </c>
      <c r="H850" s="17">
        <v>86.956500000000005</v>
      </c>
      <c r="K850" s="11"/>
      <c r="O850" s="57"/>
    </row>
    <row r="851" spans="2:15">
      <c r="B851" s="20">
        <v>92586</v>
      </c>
      <c r="C851" s="20" t="s">
        <v>112</v>
      </c>
      <c r="D851" s="20">
        <f t="shared" si="15"/>
        <v>10</v>
      </c>
      <c r="E851" s="21">
        <v>10</v>
      </c>
      <c r="F851" s="17">
        <v>0.38059999999999999</v>
      </c>
      <c r="G851" s="17">
        <v>1.3332999999999999</v>
      </c>
      <c r="H851" s="17">
        <v>86.956500000000005</v>
      </c>
      <c r="K851" s="11"/>
      <c r="O851" s="57"/>
    </row>
    <row r="852" spans="2:15">
      <c r="B852" s="20">
        <v>92588</v>
      </c>
      <c r="C852" s="20" t="s">
        <v>113</v>
      </c>
      <c r="D852" s="20">
        <f t="shared" si="15"/>
        <v>19.38</v>
      </c>
      <c r="E852" s="21">
        <v>19.38</v>
      </c>
      <c r="F852" s="17">
        <v>0.81950000000000001</v>
      </c>
      <c r="G852" s="17">
        <v>2.5840000000000001</v>
      </c>
      <c r="H852" s="17">
        <v>168.52170000000001</v>
      </c>
      <c r="K852" s="11"/>
      <c r="O852"/>
    </row>
    <row r="853" spans="2:15">
      <c r="B853" s="20">
        <v>92596</v>
      </c>
      <c r="C853" s="20" t="s">
        <v>114</v>
      </c>
      <c r="D853" s="20">
        <f t="shared" si="15"/>
        <v>1.8</v>
      </c>
      <c r="E853" s="21">
        <v>1.8</v>
      </c>
      <c r="F853" s="17">
        <v>7.6100000000000001E-2</v>
      </c>
      <c r="G853" s="17">
        <v>0.24</v>
      </c>
      <c r="H853" s="17">
        <v>15.652200000000001</v>
      </c>
      <c r="K853" s="11"/>
      <c r="O853"/>
    </row>
    <row r="854" spans="2:15">
      <c r="B854" s="20">
        <v>92597</v>
      </c>
      <c r="C854" s="20" t="s">
        <v>115</v>
      </c>
      <c r="D854" s="20">
        <f t="shared" si="15"/>
        <v>2.2999999999999998</v>
      </c>
      <c r="E854" s="21">
        <v>2.2999999999999998</v>
      </c>
      <c r="F854" s="17">
        <v>9.7299999999999998E-2</v>
      </c>
      <c r="G854" s="17">
        <v>0.30669999999999997</v>
      </c>
      <c r="H854" s="17">
        <v>20</v>
      </c>
      <c r="K854" s="11"/>
      <c r="O854"/>
    </row>
    <row r="855" spans="2:15">
      <c r="B855" s="20">
        <v>92598</v>
      </c>
      <c r="C855" s="20" t="s">
        <v>116</v>
      </c>
      <c r="D855" s="20">
        <f t="shared" si="15"/>
        <v>1.8</v>
      </c>
      <c r="E855" s="21">
        <v>1.8</v>
      </c>
      <c r="F855" s="17">
        <v>7.6100000000000001E-2</v>
      </c>
      <c r="G855" s="17">
        <v>0.24</v>
      </c>
      <c r="H855" s="17">
        <v>15.652200000000001</v>
      </c>
      <c r="K855" s="11"/>
      <c r="O855"/>
    </row>
    <row r="856" spans="2:15">
      <c r="B856" s="20">
        <v>92599</v>
      </c>
      <c r="C856" s="20" t="s">
        <v>117</v>
      </c>
      <c r="D856" s="20">
        <f t="shared" si="15"/>
        <v>2.2999999999999998</v>
      </c>
      <c r="E856" s="21">
        <v>2.2999999999999998</v>
      </c>
      <c r="F856" s="17">
        <v>9.7299999999999998E-2</v>
      </c>
      <c r="G856" s="17">
        <v>0.30669999999999997</v>
      </c>
      <c r="H856" s="17">
        <v>20</v>
      </c>
      <c r="K856" s="11"/>
      <c r="O856"/>
    </row>
    <row r="857" spans="2:15">
      <c r="B857" s="20" t="s">
        <v>90</v>
      </c>
      <c r="C857" s="20" t="s">
        <v>118</v>
      </c>
      <c r="D857" s="20">
        <f t="shared" si="15"/>
        <v>4.6749999999999998</v>
      </c>
      <c r="E857" s="21">
        <v>4.6749999999999998</v>
      </c>
      <c r="F857" s="17">
        <v>0.19769999999999999</v>
      </c>
      <c r="G857" s="17">
        <v>0.62329999999999997</v>
      </c>
      <c r="H857" s="17">
        <v>40.652200000000001</v>
      </c>
      <c r="K857" s="11"/>
      <c r="O857"/>
    </row>
    <row r="858" spans="2:15">
      <c r="B858" s="20" t="s">
        <v>119</v>
      </c>
      <c r="C858" s="20" t="s">
        <v>120</v>
      </c>
      <c r="D858" s="20">
        <f t="shared" si="15"/>
        <v>2.3374999999999999</v>
      </c>
      <c r="E858" s="21">
        <v>2.3374999999999999</v>
      </c>
      <c r="F858" s="17">
        <v>9.8799999999999999E-2</v>
      </c>
      <c r="G858" s="17">
        <v>0.31169999999999998</v>
      </c>
      <c r="H858" s="17">
        <v>20.3261</v>
      </c>
      <c r="K858" s="11"/>
      <c r="O858"/>
    </row>
    <row r="859" spans="2:15">
      <c r="B859" s="20" t="s">
        <v>121</v>
      </c>
      <c r="C859" s="20" t="s">
        <v>122</v>
      </c>
      <c r="D859" s="20">
        <f t="shared" si="15"/>
        <v>1.925</v>
      </c>
      <c r="E859" s="21">
        <v>1.925</v>
      </c>
      <c r="F859" s="17">
        <v>8.14E-2</v>
      </c>
      <c r="G859" s="17">
        <v>0.25669999999999998</v>
      </c>
      <c r="H859" s="17">
        <v>16.739100000000001</v>
      </c>
      <c r="K859" s="11"/>
      <c r="O859"/>
    </row>
    <row r="860" spans="2:15" ht="15" customHeight="1">
      <c r="B860" s="20" t="s">
        <v>92</v>
      </c>
      <c r="C860" s="20" t="s">
        <v>123</v>
      </c>
      <c r="D860" s="20">
        <f t="shared" si="15"/>
        <v>2.3374999999999999</v>
      </c>
      <c r="E860" s="21">
        <v>2.3374999999999999</v>
      </c>
      <c r="F860" s="17">
        <v>9.8799999999999999E-2</v>
      </c>
      <c r="G860" s="17">
        <v>0.31169999999999998</v>
      </c>
      <c r="H860" s="17">
        <v>20.3261</v>
      </c>
      <c r="K860" s="11"/>
      <c r="O860"/>
    </row>
    <row r="861" spans="2:15">
      <c r="B861" s="20" t="s">
        <v>86</v>
      </c>
      <c r="C861" s="20" t="s">
        <v>124</v>
      </c>
      <c r="D861" s="20">
        <f t="shared" si="15"/>
        <v>1.925</v>
      </c>
      <c r="E861" s="21">
        <v>1.925</v>
      </c>
      <c r="F861" s="17">
        <v>8.14E-2</v>
      </c>
      <c r="G861" s="17">
        <v>0.25669999999999998</v>
      </c>
      <c r="H861" s="17">
        <v>16.739100000000001</v>
      </c>
      <c r="K861" s="11"/>
      <c r="O861"/>
    </row>
    <row r="862" spans="2:15">
      <c r="B862" s="20" t="s">
        <v>768</v>
      </c>
      <c r="C862" s="20" t="s">
        <v>125</v>
      </c>
      <c r="D862" s="20">
        <f t="shared" si="15"/>
        <v>0</v>
      </c>
      <c r="E862" s="21">
        <v>0</v>
      </c>
      <c r="F862" s="17">
        <v>0</v>
      </c>
      <c r="G862" s="17">
        <v>0</v>
      </c>
      <c r="H862" s="17">
        <v>0</v>
      </c>
      <c r="K862" s="11"/>
      <c r="O862"/>
    </row>
    <row r="863" spans="2:15">
      <c r="B863" s="20" t="s">
        <v>91</v>
      </c>
      <c r="C863" s="20" t="s">
        <v>126</v>
      </c>
      <c r="D863" s="20">
        <f t="shared" si="15"/>
        <v>39.049999999999997</v>
      </c>
      <c r="E863" s="21">
        <v>39.049999999999997</v>
      </c>
      <c r="F863" s="17">
        <v>1.6512</v>
      </c>
      <c r="G863" s="17">
        <v>5.2066999999999997</v>
      </c>
      <c r="H863" s="17">
        <v>339.5652</v>
      </c>
      <c r="K863" s="11"/>
      <c r="O863"/>
    </row>
    <row r="864" spans="2:15">
      <c r="B864" s="20" t="s">
        <v>89</v>
      </c>
      <c r="C864" s="20" t="s">
        <v>127</v>
      </c>
      <c r="D864" s="20">
        <f t="shared" si="15"/>
        <v>34.1</v>
      </c>
      <c r="E864" s="21">
        <v>34.1</v>
      </c>
      <c r="F864" s="17">
        <v>1.4419</v>
      </c>
      <c r="G864" s="17">
        <v>4.5467000000000004</v>
      </c>
      <c r="H864" s="17">
        <v>296.52170000000001</v>
      </c>
      <c r="K864" s="11"/>
      <c r="O864"/>
    </row>
    <row r="865" spans="2:15">
      <c r="B865" s="20" t="s">
        <v>88</v>
      </c>
      <c r="C865" s="20" t="s">
        <v>128</v>
      </c>
      <c r="D865" s="20">
        <f t="shared" si="15"/>
        <v>30.8</v>
      </c>
      <c r="E865" s="21">
        <v>30.8</v>
      </c>
      <c r="F865" s="17">
        <v>1.3023</v>
      </c>
      <c r="G865" s="17">
        <v>4.1067</v>
      </c>
      <c r="H865" s="17">
        <v>267.8261</v>
      </c>
      <c r="K865" s="11"/>
      <c r="O865"/>
    </row>
    <row r="866" spans="2:15">
      <c r="B866" s="20" t="s">
        <v>87</v>
      </c>
      <c r="C866" s="20" t="s">
        <v>129</v>
      </c>
      <c r="D866" s="20">
        <f t="shared" si="15"/>
        <v>30.8</v>
      </c>
      <c r="E866" s="21">
        <v>30.8</v>
      </c>
      <c r="F866" s="17">
        <v>1.3023</v>
      </c>
      <c r="G866" s="17">
        <v>4.1067</v>
      </c>
      <c r="H866" s="17">
        <v>267.8261</v>
      </c>
      <c r="K866" s="11"/>
      <c r="O866"/>
    </row>
    <row r="867" spans="2:15">
      <c r="B867" s="20" t="s">
        <v>93</v>
      </c>
      <c r="C867" s="20"/>
      <c r="D867" s="20">
        <f t="shared" si="15"/>
        <v>0</v>
      </c>
      <c r="E867" s="21"/>
      <c r="F867" s="17"/>
      <c r="G867" s="17"/>
      <c r="H867" s="17"/>
      <c r="K867" s="11"/>
      <c r="O867"/>
    </row>
    <row r="868" spans="2:15">
      <c r="B868" s="20">
        <v>92950</v>
      </c>
      <c r="C868" s="20" t="s">
        <v>193</v>
      </c>
      <c r="D868" s="20">
        <f t="shared" si="15"/>
        <v>7</v>
      </c>
      <c r="E868" s="21">
        <v>7</v>
      </c>
      <c r="F868" s="17">
        <v>0.26640000000000003</v>
      </c>
      <c r="G868" s="17">
        <v>0.875</v>
      </c>
      <c r="H868" s="17">
        <v>64.673900000000003</v>
      </c>
      <c r="K868" s="11"/>
      <c r="O868"/>
    </row>
    <row r="869" spans="2:15">
      <c r="B869" s="20">
        <v>0</v>
      </c>
      <c r="C869" s="20"/>
      <c r="D869" s="20">
        <f t="shared" si="15"/>
        <v>0</v>
      </c>
      <c r="E869" s="21"/>
      <c r="F869" s="17"/>
      <c r="G869" s="17"/>
      <c r="H869" s="17"/>
      <c r="K869" s="11"/>
      <c r="O869"/>
    </row>
    <row r="870" spans="2:15">
      <c r="B870" s="20">
        <v>93000</v>
      </c>
      <c r="C870" s="20" t="s">
        <v>130</v>
      </c>
      <c r="D870" s="20">
        <f t="shared" si="15"/>
        <v>30</v>
      </c>
      <c r="E870" s="21">
        <v>30</v>
      </c>
      <c r="F870" s="17">
        <v>1.1416999999999999</v>
      </c>
      <c r="G870" s="17">
        <v>3.75</v>
      </c>
      <c r="H870" s="17">
        <v>277.1739</v>
      </c>
      <c r="K870" s="11"/>
      <c r="O870"/>
    </row>
    <row r="871" spans="2:15">
      <c r="B871" s="20">
        <v>92951</v>
      </c>
      <c r="C871" s="20" t="s">
        <v>131</v>
      </c>
      <c r="D871" s="20">
        <f t="shared" si="15"/>
        <v>7.5</v>
      </c>
      <c r="E871" s="21">
        <v>7.5</v>
      </c>
      <c r="F871" s="17">
        <v>0.28539999999999999</v>
      </c>
      <c r="G871" s="17">
        <v>0.9375</v>
      </c>
      <c r="H871" s="17">
        <v>69.293499999999995</v>
      </c>
      <c r="K871" s="11"/>
      <c r="O871"/>
    </row>
    <row r="872" spans="2:15">
      <c r="B872" s="20">
        <v>92952</v>
      </c>
      <c r="C872" s="20" t="s">
        <v>132</v>
      </c>
      <c r="D872" s="20">
        <f t="shared" si="15"/>
        <v>7.5</v>
      </c>
      <c r="E872" s="21">
        <v>7.5</v>
      </c>
      <c r="F872" s="17">
        <v>0.28539999999999999</v>
      </c>
      <c r="G872" s="17">
        <v>0.9375</v>
      </c>
      <c r="H872" s="17">
        <v>69.293499999999995</v>
      </c>
      <c r="K872" s="11"/>
      <c r="O872"/>
    </row>
    <row r="873" spans="2:15" ht="15" customHeight="1">
      <c r="B873" s="20">
        <v>93903</v>
      </c>
      <c r="C873" s="20" t="s">
        <v>133</v>
      </c>
      <c r="D873" s="20">
        <f t="shared" si="15"/>
        <v>29.99963</v>
      </c>
      <c r="E873" s="21">
        <v>29.99963</v>
      </c>
      <c r="F873" s="17">
        <v>1.1415999999999999</v>
      </c>
      <c r="G873" s="17">
        <v>3.75</v>
      </c>
      <c r="H873" s="17">
        <v>277.1705</v>
      </c>
      <c r="K873" s="11"/>
      <c r="O873"/>
    </row>
    <row r="874" spans="2:15">
      <c r="B874" s="20">
        <v>92957</v>
      </c>
      <c r="C874" s="20" t="s">
        <v>134</v>
      </c>
      <c r="D874" s="20">
        <f t="shared" si="15"/>
        <v>25</v>
      </c>
      <c r="E874" s="21">
        <v>25</v>
      </c>
      <c r="F874" s="17">
        <v>0.95140000000000002</v>
      </c>
      <c r="G874" s="17">
        <v>3.125</v>
      </c>
      <c r="H874" s="17">
        <v>230.97829999999999</v>
      </c>
      <c r="K874" s="11"/>
      <c r="O874"/>
    </row>
    <row r="875" spans="2:15">
      <c r="B875" s="20">
        <v>92960</v>
      </c>
      <c r="C875" s="20" t="s">
        <v>135</v>
      </c>
      <c r="D875" s="20">
        <f t="shared" si="15"/>
        <v>2</v>
      </c>
      <c r="E875" s="21">
        <v>2</v>
      </c>
      <c r="F875" s="17">
        <v>7.6100000000000001E-2</v>
      </c>
      <c r="G875" s="17">
        <v>0.25</v>
      </c>
      <c r="H875" s="17">
        <v>18.478300000000001</v>
      </c>
      <c r="K875" s="11"/>
      <c r="O875"/>
    </row>
    <row r="876" spans="2:15">
      <c r="B876" s="20">
        <v>92962</v>
      </c>
      <c r="C876" s="20" t="s">
        <v>136</v>
      </c>
      <c r="D876" s="20">
        <f t="shared" si="15"/>
        <v>3</v>
      </c>
      <c r="E876" s="21">
        <v>3</v>
      </c>
      <c r="F876" s="17">
        <v>0.1142</v>
      </c>
      <c r="G876" s="17">
        <v>0.375</v>
      </c>
      <c r="H876" s="17">
        <v>27.717400000000001</v>
      </c>
      <c r="K876" s="11"/>
      <c r="O876"/>
    </row>
    <row r="877" spans="2:15">
      <c r="B877" s="20">
        <v>92961</v>
      </c>
      <c r="C877" s="20" t="s">
        <v>137</v>
      </c>
      <c r="D877" s="20">
        <f t="shared" si="15"/>
        <v>2.5</v>
      </c>
      <c r="E877" s="21">
        <v>2.5</v>
      </c>
      <c r="F877" s="17">
        <v>9.5100000000000004E-2</v>
      </c>
      <c r="G877" s="17">
        <v>0.3125</v>
      </c>
      <c r="H877" s="17">
        <v>23.097799999999999</v>
      </c>
      <c r="K877" s="11"/>
      <c r="O877"/>
    </row>
    <row r="878" spans="2:15">
      <c r="B878" s="20">
        <v>92963</v>
      </c>
      <c r="C878" s="20" t="s">
        <v>138</v>
      </c>
      <c r="D878" s="20">
        <f t="shared" si="15"/>
        <v>3</v>
      </c>
      <c r="E878" s="21">
        <v>3</v>
      </c>
      <c r="F878" s="17">
        <v>0.1142</v>
      </c>
      <c r="G878" s="17">
        <v>0.375</v>
      </c>
      <c r="H878" s="17">
        <v>27.717400000000001</v>
      </c>
      <c r="K878" s="11"/>
      <c r="O878"/>
    </row>
    <row r="879" spans="2:15">
      <c r="B879" s="20">
        <v>92986</v>
      </c>
      <c r="C879" s="20" t="s">
        <v>139</v>
      </c>
      <c r="D879" s="20">
        <f t="shared" si="15"/>
        <v>13</v>
      </c>
      <c r="E879" s="21">
        <v>13</v>
      </c>
      <c r="F879" s="17">
        <v>0.49469999999999997</v>
      </c>
      <c r="G879" s="17">
        <v>1.625</v>
      </c>
      <c r="H879" s="17">
        <v>120.1087</v>
      </c>
      <c r="K879" s="11"/>
      <c r="O879"/>
    </row>
    <row r="880" spans="2:15">
      <c r="B880" s="20">
        <v>92987</v>
      </c>
      <c r="C880" s="20" t="s">
        <v>140</v>
      </c>
      <c r="D880" s="20">
        <f t="shared" si="15"/>
        <v>13</v>
      </c>
      <c r="E880" s="21">
        <v>13</v>
      </c>
      <c r="F880" s="17">
        <v>0.49469999999999997</v>
      </c>
      <c r="G880" s="17">
        <v>1.625</v>
      </c>
      <c r="H880" s="17">
        <v>120.1087</v>
      </c>
      <c r="K880" s="11"/>
      <c r="O880"/>
    </row>
    <row r="881" spans="2:15">
      <c r="B881" s="20">
        <v>92988</v>
      </c>
      <c r="C881" s="20" t="s">
        <v>141</v>
      </c>
      <c r="D881" s="20">
        <f t="shared" ref="D881:D912" si="16">IF($D$1=1,E:E,IF($D$1=2,F:F,IF($D$1=3,G:G,IF($D$1=4,H:H,IF($D$1=5,I:I)))))</f>
        <v>13</v>
      </c>
      <c r="E881" s="21">
        <v>13</v>
      </c>
      <c r="F881" s="17">
        <v>0.49469999999999997</v>
      </c>
      <c r="G881" s="17">
        <v>1.625</v>
      </c>
      <c r="H881" s="17">
        <v>120.1087</v>
      </c>
      <c r="K881" s="11"/>
      <c r="O881"/>
    </row>
    <row r="882" spans="2:15">
      <c r="B882" s="20">
        <v>92972</v>
      </c>
      <c r="C882" s="20" t="s">
        <v>142</v>
      </c>
      <c r="D882" s="20">
        <f t="shared" si="16"/>
        <v>25</v>
      </c>
      <c r="E882" s="21">
        <v>25</v>
      </c>
      <c r="F882" s="17">
        <v>0.95140000000000002</v>
      </c>
      <c r="G882" s="17">
        <v>3.125</v>
      </c>
      <c r="H882" s="17">
        <v>230.97829999999999</v>
      </c>
      <c r="K882" s="11"/>
      <c r="O882"/>
    </row>
    <row r="883" spans="2:15">
      <c r="B883" s="20">
        <v>92971</v>
      </c>
      <c r="C883" s="20" t="s">
        <v>143</v>
      </c>
      <c r="D883" s="20">
        <f t="shared" si="16"/>
        <v>25</v>
      </c>
      <c r="E883" s="21">
        <v>25</v>
      </c>
      <c r="F883" s="17">
        <v>0.95140000000000002</v>
      </c>
      <c r="G883" s="17">
        <v>3.125</v>
      </c>
      <c r="H883" s="17">
        <v>230.97829999999999</v>
      </c>
      <c r="K883" s="11"/>
      <c r="O883"/>
    </row>
    <row r="884" spans="2:15">
      <c r="B884" s="20">
        <v>92973</v>
      </c>
      <c r="C884" s="20" t="s">
        <v>144</v>
      </c>
      <c r="D884" s="20">
        <f t="shared" si="16"/>
        <v>25</v>
      </c>
      <c r="E884" s="21">
        <v>25</v>
      </c>
      <c r="F884" s="17">
        <v>0.95140000000000002</v>
      </c>
      <c r="G884" s="17">
        <v>3.125</v>
      </c>
      <c r="H884" s="17">
        <v>230.97829999999999</v>
      </c>
      <c r="K884" s="11"/>
      <c r="O884"/>
    </row>
    <row r="885" spans="2:15">
      <c r="B885" s="20">
        <v>92991</v>
      </c>
      <c r="C885" s="20" t="s">
        <v>145</v>
      </c>
      <c r="D885" s="20">
        <f t="shared" si="16"/>
        <v>35</v>
      </c>
      <c r="E885" s="21">
        <v>35</v>
      </c>
      <c r="F885" s="17">
        <v>1.3319000000000001</v>
      </c>
      <c r="G885" s="17">
        <v>4.375</v>
      </c>
      <c r="H885" s="17">
        <v>323.36959999999999</v>
      </c>
      <c r="K885" s="11"/>
      <c r="O885"/>
    </row>
    <row r="886" spans="2:15">
      <c r="B886" s="20">
        <v>92975</v>
      </c>
      <c r="C886" s="20" t="s">
        <v>146</v>
      </c>
      <c r="D886" s="20">
        <f t="shared" si="16"/>
        <v>3</v>
      </c>
      <c r="E886" s="21">
        <v>3</v>
      </c>
      <c r="F886" s="17">
        <v>0.1142</v>
      </c>
      <c r="G886" s="17">
        <v>0.375</v>
      </c>
      <c r="H886" s="17">
        <v>27.717400000000001</v>
      </c>
      <c r="K886" s="11"/>
      <c r="O886"/>
    </row>
    <row r="887" spans="2:15">
      <c r="B887" s="20">
        <v>92968</v>
      </c>
      <c r="C887" s="20" t="s">
        <v>147</v>
      </c>
      <c r="D887" s="20">
        <f t="shared" si="16"/>
        <v>4</v>
      </c>
      <c r="E887" s="21">
        <v>4</v>
      </c>
      <c r="F887" s="17">
        <v>0.1522</v>
      </c>
      <c r="G887" s="17">
        <v>0.5</v>
      </c>
      <c r="H887" s="17">
        <v>36.956499999999998</v>
      </c>
      <c r="K887" s="11"/>
      <c r="O887"/>
    </row>
    <row r="888" spans="2:15">
      <c r="B888" s="20">
        <v>92974</v>
      </c>
      <c r="C888" s="20" t="s">
        <v>148</v>
      </c>
      <c r="D888" s="20">
        <f t="shared" si="16"/>
        <v>3.5</v>
      </c>
      <c r="E888" s="21">
        <v>3.5</v>
      </c>
      <c r="F888" s="17">
        <v>0.13320000000000001</v>
      </c>
      <c r="G888" s="17">
        <v>0.4375</v>
      </c>
      <c r="H888" s="17">
        <v>32.337000000000003</v>
      </c>
      <c r="K888" s="11"/>
      <c r="O888"/>
    </row>
    <row r="889" spans="2:15">
      <c r="B889" s="20">
        <v>92969</v>
      </c>
      <c r="C889" s="20" t="s">
        <v>149</v>
      </c>
      <c r="D889" s="20">
        <f t="shared" si="16"/>
        <v>4</v>
      </c>
      <c r="E889" s="21">
        <v>4</v>
      </c>
      <c r="F889" s="17">
        <v>0.1522</v>
      </c>
      <c r="G889" s="17">
        <v>0.5</v>
      </c>
      <c r="H889" s="17">
        <v>36.956499999999998</v>
      </c>
      <c r="K889" s="11"/>
      <c r="O889"/>
    </row>
    <row r="890" spans="2:15">
      <c r="B890" s="20">
        <v>93001</v>
      </c>
      <c r="C890" s="20" t="s">
        <v>150</v>
      </c>
      <c r="D890" s="20">
        <f t="shared" si="16"/>
        <v>17</v>
      </c>
      <c r="E890" s="21">
        <v>17</v>
      </c>
      <c r="F890" s="17">
        <v>0.79069999999999996</v>
      </c>
      <c r="G890" s="17">
        <v>2.2667000000000002</v>
      </c>
      <c r="H890" s="17">
        <v>157.0652</v>
      </c>
      <c r="K890" s="11"/>
      <c r="O890"/>
    </row>
    <row r="891" spans="2:15">
      <c r="B891" s="20">
        <v>93002</v>
      </c>
      <c r="C891" s="20" t="s">
        <v>151</v>
      </c>
      <c r="D891" s="20">
        <f t="shared" si="16"/>
        <v>17</v>
      </c>
      <c r="E891" s="21">
        <v>17</v>
      </c>
      <c r="F891" s="17">
        <v>0.79069999999999996</v>
      </c>
      <c r="G891" s="17">
        <v>2.2667000000000002</v>
      </c>
      <c r="H891" s="17">
        <v>157.0652</v>
      </c>
      <c r="K891" s="11"/>
      <c r="O891"/>
    </row>
    <row r="892" spans="2:15">
      <c r="B892" s="20">
        <v>93003</v>
      </c>
      <c r="C892" s="20" t="s">
        <v>152</v>
      </c>
      <c r="D892" s="20">
        <f t="shared" si="16"/>
        <v>17</v>
      </c>
      <c r="E892" s="21">
        <v>17</v>
      </c>
      <c r="F892" s="17">
        <v>0.79069999999999996</v>
      </c>
      <c r="G892" s="17">
        <v>2.2667000000000002</v>
      </c>
      <c r="H892" s="17">
        <v>157.0652</v>
      </c>
      <c r="K892" s="11"/>
      <c r="O892"/>
    </row>
    <row r="893" spans="2:15">
      <c r="B893" s="20">
        <v>93006</v>
      </c>
      <c r="C893" s="20" t="s">
        <v>153</v>
      </c>
      <c r="D893" s="20">
        <f t="shared" si="16"/>
        <v>40</v>
      </c>
      <c r="E893" s="21">
        <v>40</v>
      </c>
      <c r="F893" s="17">
        <v>1.8605</v>
      </c>
      <c r="G893" s="17">
        <v>5.3333000000000004</v>
      </c>
      <c r="H893" s="17">
        <v>369.5652</v>
      </c>
      <c r="K893" s="11"/>
      <c r="O893"/>
    </row>
    <row r="894" spans="2:15">
      <c r="B894" s="20">
        <v>93010</v>
      </c>
      <c r="C894" s="20" t="s">
        <v>154</v>
      </c>
      <c r="D894" s="20">
        <f t="shared" si="16"/>
        <v>9</v>
      </c>
      <c r="E894" s="21">
        <v>9</v>
      </c>
      <c r="F894" s="17">
        <v>0.41860000000000003</v>
      </c>
      <c r="G894" s="17">
        <v>1.2</v>
      </c>
      <c r="H894" s="17">
        <v>83.152199999999993</v>
      </c>
      <c r="K894" s="11"/>
      <c r="O894"/>
    </row>
    <row r="895" spans="2:15">
      <c r="B895" s="20">
        <v>93011</v>
      </c>
      <c r="C895" s="20" t="s">
        <v>155</v>
      </c>
      <c r="D895" s="20">
        <f t="shared" si="16"/>
        <v>10</v>
      </c>
      <c r="E895" s="21">
        <v>10</v>
      </c>
      <c r="F895" s="17">
        <v>0.46510000000000001</v>
      </c>
      <c r="G895" s="17">
        <v>1.3332999999999999</v>
      </c>
      <c r="H895" s="17">
        <v>92.391300000000001</v>
      </c>
      <c r="K895" s="11"/>
      <c r="O895"/>
    </row>
    <row r="896" spans="2:15">
      <c r="B896" s="20">
        <v>93012</v>
      </c>
      <c r="C896" s="20" t="s">
        <v>156</v>
      </c>
      <c r="D896" s="20">
        <f t="shared" si="16"/>
        <v>11</v>
      </c>
      <c r="E896" s="21">
        <v>11</v>
      </c>
      <c r="F896" s="17">
        <v>0.51160000000000005</v>
      </c>
      <c r="G896" s="17">
        <v>1.4666999999999999</v>
      </c>
      <c r="H896" s="17">
        <v>101.63039999999999</v>
      </c>
      <c r="K896" s="11"/>
      <c r="O896"/>
    </row>
    <row r="897" spans="2:15">
      <c r="B897" s="20">
        <v>93013</v>
      </c>
      <c r="C897" s="20" t="s">
        <v>157</v>
      </c>
      <c r="D897" s="20">
        <f t="shared" si="16"/>
        <v>12</v>
      </c>
      <c r="E897" s="21">
        <v>12</v>
      </c>
      <c r="F897" s="17">
        <v>0.55810000000000004</v>
      </c>
      <c r="G897" s="17">
        <v>1.6</v>
      </c>
      <c r="H897" s="17">
        <v>110.86960000000001</v>
      </c>
      <c r="K897" s="11"/>
      <c r="O897"/>
    </row>
    <row r="898" spans="2:15">
      <c r="B898" s="22"/>
      <c r="C898" s="17"/>
      <c r="D898" s="20">
        <f t="shared" si="16"/>
        <v>0</v>
      </c>
      <c r="E898" s="17"/>
      <c r="F898" s="17"/>
      <c r="G898" s="17"/>
      <c r="H898" s="17"/>
      <c r="K898" s="11"/>
      <c r="O898"/>
    </row>
    <row r="899" spans="2:15">
      <c r="B899" s="22">
        <v>12109</v>
      </c>
      <c r="C899" s="17" t="s">
        <v>642</v>
      </c>
      <c r="D899" s="20">
        <f t="shared" si="16"/>
        <v>63.00958</v>
      </c>
      <c r="E899" s="17">
        <v>63.00958</v>
      </c>
      <c r="F899" s="17">
        <v>2.2646000000000002</v>
      </c>
      <c r="G899" s="17">
        <v>8.8739000000000008</v>
      </c>
      <c r="H899" s="17">
        <v>616.3981</v>
      </c>
      <c r="K899" s="11"/>
      <c r="O899"/>
    </row>
    <row r="900" spans="2:15">
      <c r="B900" s="20">
        <v>12130</v>
      </c>
      <c r="C900" s="20" t="s">
        <v>158</v>
      </c>
      <c r="D900" s="20">
        <f t="shared" si="16"/>
        <v>72.46181</v>
      </c>
      <c r="E900" s="21">
        <v>72.46181</v>
      </c>
      <c r="F900" s="17">
        <v>2.6042999999999998</v>
      </c>
      <c r="G900" s="17">
        <v>10.205</v>
      </c>
      <c r="H900" s="17">
        <v>708.8655</v>
      </c>
      <c r="K900" s="11"/>
      <c r="O900"/>
    </row>
    <row r="901" spans="2:15">
      <c r="B901" s="20">
        <v>12121</v>
      </c>
      <c r="C901" s="20" t="s">
        <v>159</v>
      </c>
      <c r="D901" s="20">
        <f t="shared" si="16"/>
        <v>72.46181</v>
      </c>
      <c r="E901" s="21">
        <v>72.46181</v>
      </c>
      <c r="F901" s="17">
        <v>2.6042999999999998</v>
      </c>
      <c r="G901" s="17">
        <v>10.205</v>
      </c>
      <c r="H901" s="17">
        <v>708.8655</v>
      </c>
      <c r="K901" s="11"/>
      <c r="O901"/>
    </row>
    <row r="902" spans="2:15">
      <c r="B902" s="20">
        <v>12124</v>
      </c>
      <c r="C902" s="20" t="s">
        <v>160</v>
      </c>
      <c r="D902" s="20">
        <f t="shared" si="16"/>
        <v>72.46181</v>
      </c>
      <c r="E902" s="21">
        <v>72.46181</v>
      </c>
      <c r="F902" s="17">
        <v>2.6042999999999998</v>
      </c>
      <c r="G902" s="17">
        <v>10.205</v>
      </c>
      <c r="H902" s="17">
        <v>708.8655</v>
      </c>
      <c r="K902" s="11"/>
      <c r="O902"/>
    </row>
    <row r="903" spans="2:15">
      <c r="B903" s="20">
        <v>12104</v>
      </c>
      <c r="C903" s="20" t="s">
        <v>161</v>
      </c>
      <c r="D903" s="20">
        <f t="shared" si="16"/>
        <v>68.667379999999994</v>
      </c>
      <c r="E903" s="21">
        <v>68.667379999999994</v>
      </c>
      <c r="F903" s="17">
        <v>2.468</v>
      </c>
      <c r="G903" s="17">
        <v>9.6707000000000001</v>
      </c>
      <c r="H903" s="17">
        <v>671.74609999999996</v>
      </c>
      <c r="K903" s="11"/>
      <c r="O903"/>
    </row>
    <row r="904" spans="2:15">
      <c r="B904" s="20">
        <v>13030</v>
      </c>
      <c r="C904" s="20" t="s">
        <v>162</v>
      </c>
      <c r="D904" s="20">
        <f t="shared" si="16"/>
        <v>34.292349999999999</v>
      </c>
      <c r="E904" s="21">
        <v>34.292349999999999</v>
      </c>
      <c r="F904" s="17">
        <v>1.2324999999999999</v>
      </c>
      <c r="G904" s="17">
        <v>4.8295000000000003</v>
      </c>
      <c r="H904" s="17">
        <v>335.46859999999998</v>
      </c>
      <c r="K904" s="11"/>
      <c r="O904"/>
    </row>
    <row r="905" spans="2:15">
      <c r="B905" s="20">
        <v>12033</v>
      </c>
      <c r="C905" s="20" t="s">
        <v>163</v>
      </c>
      <c r="D905" s="20">
        <f t="shared" si="16"/>
        <v>37.96275</v>
      </c>
      <c r="E905" s="21">
        <v>37.96275</v>
      </c>
      <c r="F905" s="17">
        <v>1.3644000000000001</v>
      </c>
      <c r="G905" s="17">
        <v>5.3464</v>
      </c>
      <c r="H905" s="17">
        <v>371.37470000000002</v>
      </c>
      <c r="K905" s="11"/>
      <c r="O905"/>
    </row>
    <row r="906" spans="2:15">
      <c r="B906" s="20">
        <v>12034</v>
      </c>
      <c r="C906" s="20" t="s">
        <v>164</v>
      </c>
      <c r="D906" s="20">
        <f t="shared" si="16"/>
        <v>39.93347</v>
      </c>
      <c r="E906" s="21">
        <v>39.93347</v>
      </c>
      <c r="F906" s="17">
        <v>1.4352</v>
      </c>
      <c r="G906" s="17">
        <v>5.6239999999999997</v>
      </c>
      <c r="H906" s="17">
        <v>390.65350000000001</v>
      </c>
      <c r="K906" s="11"/>
      <c r="O906"/>
    </row>
    <row r="907" spans="2:15">
      <c r="B907" s="20">
        <v>118033</v>
      </c>
      <c r="C907" s="20" t="s">
        <v>770</v>
      </c>
      <c r="D907" s="20">
        <f t="shared" si="16"/>
        <v>0</v>
      </c>
      <c r="E907" s="21"/>
      <c r="F907" s="17"/>
      <c r="G907" s="17"/>
      <c r="H907" s="17"/>
      <c r="K907" s="11"/>
      <c r="O907"/>
    </row>
    <row r="908" spans="2:15">
      <c r="B908" s="20">
        <v>12105</v>
      </c>
      <c r="C908" s="20" t="s">
        <v>165</v>
      </c>
      <c r="D908" s="20">
        <f t="shared" si="16"/>
        <v>68.851129999999998</v>
      </c>
      <c r="E908" s="21">
        <v>68.851129999999998</v>
      </c>
      <c r="F908" s="17">
        <v>2.4746000000000001</v>
      </c>
      <c r="G908" s="17">
        <v>9.6965000000000003</v>
      </c>
      <c r="H908" s="17">
        <v>673.54369999999994</v>
      </c>
      <c r="K908" s="11"/>
      <c r="O908"/>
    </row>
    <row r="909" spans="2:15">
      <c r="B909" s="20">
        <v>12106</v>
      </c>
      <c r="C909" s="20" t="s">
        <v>166</v>
      </c>
      <c r="D909" s="20">
        <f t="shared" si="16"/>
        <v>62.658749999999998</v>
      </c>
      <c r="E909" s="21">
        <v>62.658749999999998</v>
      </c>
      <c r="F909" s="17">
        <v>2.2519999999999998</v>
      </c>
      <c r="G909" s="17">
        <v>8.8244000000000007</v>
      </c>
      <c r="H909" s="17">
        <v>612.96600000000001</v>
      </c>
      <c r="K909" s="11"/>
      <c r="O909"/>
    </row>
    <row r="910" spans="2:15">
      <c r="B910" s="20">
        <v>12107</v>
      </c>
      <c r="C910" s="20" t="s">
        <v>167</v>
      </c>
      <c r="D910" s="20">
        <f t="shared" si="16"/>
        <v>66.324560000000005</v>
      </c>
      <c r="E910" s="21">
        <v>66.324560000000005</v>
      </c>
      <c r="F910" s="17">
        <v>2.3837999999999999</v>
      </c>
      <c r="G910" s="17">
        <v>9.3407</v>
      </c>
      <c r="H910" s="17">
        <v>648.82719999999995</v>
      </c>
      <c r="K910" s="11"/>
      <c r="O910"/>
    </row>
    <row r="911" spans="2:15">
      <c r="B911" s="20">
        <v>12108</v>
      </c>
      <c r="C911" s="20" t="s">
        <v>168</v>
      </c>
      <c r="D911" s="20">
        <f t="shared" si="16"/>
        <v>66.517499999999998</v>
      </c>
      <c r="E911" s="21">
        <v>66.517499999999998</v>
      </c>
      <c r="F911" s="17">
        <v>2.3906999999999998</v>
      </c>
      <c r="G911" s="17">
        <v>9.3679000000000006</v>
      </c>
      <c r="H911" s="17">
        <v>650.71469999999999</v>
      </c>
      <c r="K911" s="11"/>
      <c r="O911"/>
    </row>
    <row r="912" spans="2:15">
      <c r="B912" s="20">
        <v>12002</v>
      </c>
      <c r="C912" s="20" t="s">
        <v>169</v>
      </c>
      <c r="D912" s="20">
        <f t="shared" si="16"/>
        <v>22.573689999999999</v>
      </c>
      <c r="E912" s="21">
        <v>22.573689999999999</v>
      </c>
      <c r="F912" s="17">
        <v>0.81130000000000002</v>
      </c>
      <c r="G912" s="17">
        <v>3.1791</v>
      </c>
      <c r="H912" s="17">
        <v>220.8296</v>
      </c>
      <c r="J912" s="11"/>
      <c r="O912"/>
    </row>
    <row r="913" spans="2:15">
      <c r="B913" s="20">
        <v>12005</v>
      </c>
      <c r="C913" s="20" t="s">
        <v>170</v>
      </c>
      <c r="D913" s="20">
        <f t="shared" ref="D913:D919" si="17">IF($D$1=1,E:E,IF($D$1=2,F:F,IF($D$1=3,G:G,IF($D$1=4,H:H,IF($D$1=5,I:I)))))</f>
        <v>26.2395</v>
      </c>
      <c r="E913" s="21">
        <v>26.2395</v>
      </c>
      <c r="F913" s="17">
        <v>0.94310000000000005</v>
      </c>
      <c r="G913" s="17">
        <v>3.6953999999999998</v>
      </c>
      <c r="H913" s="17">
        <v>256.69080000000002</v>
      </c>
      <c r="J913" s="11"/>
      <c r="O913"/>
    </row>
    <row r="914" spans="2:15">
      <c r="B914" s="20">
        <v>12008</v>
      </c>
      <c r="C914" s="20" t="s">
        <v>171</v>
      </c>
      <c r="D914" s="20">
        <f t="shared" si="17"/>
        <v>26.423249999999999</v>
      </c>
      <c r="E914" s="21">
        <v>26.423249999999999</v>
      </c>
      <c r="F914" s="17">
        <v>0.94969999999999999</v>
      </c>
      <c r="G914" s="17">
        <v>3.7212999999999998</v>
      </c>
      <c r="H914" s="17">
        <v>258.48829999999998</v>
      </c>
      <c r="J914" s="11"/>
      <c r="O914"/>
    </row>
    <row r="915" spans="2:15">
      <c r="B915" s="20">
        <v>12306</v>
      </c>
      <c r="C915" s="20" t="s">
        <v>172</v>
      </c>
      <c r="D915" s="20">
        <f t="shared" si="17"/>
        <v>4.2951600000000001</v>
      </c>
      <c r="E915" s="21">
        <v>4.2951600000000001</v>
      </c>
      <c r="F915" s="17">
        <v>0.15440000000000001</v>
      </c>
      <c r="G915" s="17">
        <v>0.60489999999999999</v>
      </c>
      <c r="H915" s="17">
        <v>42.017899999999997</v>
      </c>
      <c r="J915" s="11"/>
      <c r="O915"/>
    </row>
    <row r="916" spans="2:15">
      <c r="B916" s="20">
        <v>12318</v>
      </c>
      <c r="C916" s="20" t="s">
        <v>173</v>
      </c>
      <c r="D916" s="20">
        <f t="shared" si="17"/>
        <v>6.2750599999999999</v>
      </c>
      <c r="E916" s="21">
        <v>6.2750599999999999</v>
      </c>
      <c r="F916" s="17">
        <v>0.22550000000000001</v>
      </c>
      <c r="G916" s="17">
        <v>0.88370000000000004</v>
      </c>
      <c r="H916" s="17">
        <v>61.386499999999998</v>
      </c>
      <c r="K916" s="11"/>
      <c r="O916"/>
    </row>
    <row r="917" spans="2:15">
      <c r="B917" s="20">
        <v>12323</v>
      </c>
      <c r="C917" s="20" t="s">
        <v>174</v>
      </c>
      <c r="D917" s="20">
        <f t="shared" si="17"/>
        <v>16.073540000000001</v>
      </c>
      <c r="E917" s="21">
        <v>16.073540000000001</v>
      </c>
      <c r="F917" s="17">
        <v>0.57769999999999999</v>
      </c>
      <c r="G917" s="17">
        <v>2.2637</v>
      </c>
      <c r="H917" s="17">
        <v>157.24119999999999</v>
      </c>
      <c r="K917" s="11"/>
      <c r="O917"/>
    </row>
    <row r="918" spans="2:15">
      <c r="B918" s="20">
        <v>12319</v>
      </c>
      <c r="C918" s="20" t="s">
        <v>175</v>
      </c>
      <c r="D918" s="20">
        <f t="shared" si="17"/>
        <v>21.0945</v>
      </c>
      <c r="E918" s="21">
        <v>21.0945</v>
      </c>
      <c r="F918" s="17">
        <v>0.75819999999999999</v>
      </c>
      <c r="G918" s="17">
        <v>2.9708000000000001</v>
      </c>
      <c r="H918" s="17">
        <v>206.35919999999999</v>
      </c>
      <c r="K918" s="11"/>
      <c r="O918"/>
    </row>
    <row r="919" spans="2:15" ht="14.25" customHeight="1">
      <c r="B919" s="17">
        <v>12023</v>
      </c>
      <c r="C919" s="18" t="s">
        <v>623</v>
      </c>
      <c r="D919" s="20">
        <f t="shared" si="17"/>
        <v>36.267659999999999</v>
      </c>
      <c r="E919" s="17">
        <v>36.267659999999999</v>
      </c>
      <c r="F919" s="17">
        <v>1.3035000000000001</v>
      </c>
      <c r="G919" s="17">
        <v>5.1077000000000004</v>
      </c>
      <c r="H919" s="17">
        <v>354.79230000000001</v>
      </c>
      <c r="K919" s="11"/>
      <c r="O919"/>
    </row>
    <row r="920" spans="2:15" ht="14.25" customHeight="1">
      <c r="B920" s="2" t="s">
        <v>726</v>
      </c>
      <c r="C920" s="23"/>
      <c r="D920" s="24" t="s">
        <v>725</v>
      </c>
      <c r="E920" s="2" t="s">
        <v>724</v>
      </c>
      <c r="F920" s="24" t="s">
        <v>725</v>
      </c>
      <c r="G920" s="2" t="s">
        <v>724</v>
      </c>
      <c r="H920" s="2"/>
      <c r="K920" s="11"/>
      <c r="O920"/>
    </row>
    <row r="921" spans="2:15" ht="14.25" customHeight="1">
      <c r="B921" s="2" t="s">
        <v>712</v>
      </c>
      <c r="C921" s="23" t="s">
        <v>223</v>
      </c>
      <c r="D921" s="24" t="s">
        <v>727</v>
      </c>
      <c r="E921" s="2" t="s">
        <v>727</v>
      </c>
      <c r="F921" s="2" t="str">
        <f t="shared" ref="F921:F940" si="18">CONCATENATE(C921,"",D921)</f>
        <v>STRONG 30N(15580+15585)</v>
      </c>
      <c r="G921" s="2" t="str">
        <f t="shared" ref="G921:G940" si="19">CONCATENATE(C921,"",E921)</f>
        <v>STRONG 30N(15580+15585)</v>
      </c>
      <c r="H921" s="2"/>
      <c r="K921" s="11"/>
      <c r="O921"/>
    </row>
    <row r="922" spans="2:15" ht="14.25" customHeight="1">
      <c r="B922" s="2" t="s">
        <v>712</v>
      </c>
      <c r="C922" s="23" t="s">
        <v>224</v>
      </c>
      <c r="D922" s="24" t="s">
        <v>728</v>
      </c>
      <c r="E922" s="2" t="s">
        <v>728</v>
      </c>
      <c r="F922" s="2" t="str">
        <f t="shared" si="18"/>
        <v>STRONG 60N(15581+15585)</v>
      </c>
      <c r="G922" s="2" t="str">
        <f t="shared" si="19"/>
        <v>STRONG 60N(15581+15585)</v>
      </c>
      <c r="H922" s="2"/>
      <c r="K922" s="11"/>
      <c r="O922"/>
    </row>
    <row r="923" spans="2:15" ht="14.25" customHeight="1">
      <c r="B923" s="2" t="s">
        <v>712</v>
      </c>
      <c r="C923" s="23" t="s">
        <v>225</v>
      </c>
      <c r="D923" s="24" t="s">
        <v>729</v>
      </c>
      <c r="E923" s="2" t="s">
        <v>729</v>
      </c>
      <c r="F923" s="2" t="str">
        <f t="shared" si="18"/>
        <v>STRONG 80N(15582+15585)</v>
      </c>
      <c r="G923" s="2" t="str">
        <f t="shared" si="19"/>
        <v>STRONG 80N(15582+15585)</v>
      </c>
      <c r="H923" s="2"/>
      <c r="K923" s="11"/>
      <c r="O923"/>
    </row>
    <row r="924" spans="2:15" ht="14.25" customHeight="1">
      <c r="B924" s="2" t="s">
        <v>712</v>
      </c>
      <c r="C924" s="23" t="s">
        <v>226</v>
      </c>
      <c r="D924" s="24" t="s">
        <v>730</v>
      </c>
      <c r="E924" s="2" t="s">
        <v>730</v>
      </c>
      <c r="F924" s="2" t="str">
        <f t="shared" si="18"/>
        <v>STRONG 100N(15583+15585)</v>
      </c>
      <c r="G924" s="2" t="str">
        <f t="shared" si="19"/>
        <v>STRONG 100N(15583+15585)</v>
      </c>
      <c r="H924" s="2"/>
      <c r="K924" s="11"/>
      <c r="O924"/>
    </row>
    <row r="925" spans="2:15" ht="14.25" customHeight="1">
      <c r="B925" s="2" t="s">
        <v>712</v>
      </c>
      <c r="C925" s="23" t="s">
        <v>227</v>
      </c>
      <c r="D925" s="24" t="s">
        <v>731</v>
      </c>
      <c r="E925" s="2" t="s">
        <v>731</v>
      </c>
      <c r="F925" s="2" t="str">
        <f t="shared" si="18"/>
        <v>STRONG 120N(15584+15585)</v>
      </c>
      <c r="G925" s="2" t="str">
        <f t="shared" si="19"/>
        <v>STRONG 120N(15584+15585)</v>
      </c>
      <c r="H925" s="2"/>
      <c r="K925" s="11"/>
      <c r="O925"/>
    </row>
    <row r="926" spans="2:15" ht="14.25" customHeight="1">
      <c r="B926" s="2" t="s">
        <v>712</v>
      </c>
      <c r="C926" s="23" t="s">
        <v>733</v>
      </c>
      <c r="D926" s="24" t="s">
        <v>743</v>
      </c>
      <c r="E926" s="24" t="s">
        <v>739</v>
      </c>
      <c r="F926" s="2" t="str">
        <f t="shared" si="18"/>
        <v>HUWILIFT MAXI (A)(135040+135044+135024)</v>
      </c>
      <c r="G926" s="2" t="str">
        <f t="shared" si="19"/>
        <v>HUWILIFT MAXI (A)(135040+135044+135045)</v>
      </c>
      <c r="H926" s="2"/>
      <c r="K926" s="11"/>
      <c r="O926"/>
    </row>
    <row r="927" spans="2:15" ht="14.25" customHeight="1">
      <c r="B927" s="2" t="s">
        <v>712</v>
      </c>
      <c r="C927" s="23" t="s">
        <v>734</v>
      </c>
      <c r="D927" s="24" t="s">
        <v>736</v>
      </c>
      <c r="E927" s="24" t="s">
        <v>740</v>
      </c>
      <c r="F927" s="2" t="str">
        <f t="shared" si="18"/>
        <v>HUWILIFT MAXI (B)(135041+135044+135024)</v>
      </c>
      <c r="G927" s="2" t="str">
        <f t="shared" si="19"/>
        <v>HUWILIFT MAXI (B)(135041+135044+135045)</v>
      </c>
      <c r="H927" s="2"/>
      <c r="K927" s="11"/>
      <c r="O927"/>
    </row>
    <row r="928" spans="2:15" ht="14.25" customHeight="1">
      <c r="B928" s="2" t="s">
        <v>712</v>
      </c>
      <c r="C928" s="23" t="s">
        <v>759</v>
      </c>
      <c r="D928" s="24" t="s">
        <v>737</v>
      </c>
      <c r="E928" s="24" t="s">
        <v>741</v>
      </c>
      <c r="F928" s="2" t="str">
        <f t="shared" si="18"/>
        <v>HUWILIFT MAXI (C )(135042+135044+135024)</v>
      </c>
      <c r="G928" s="2" t="str">
        <f t="shared" si="19"/>
        <v>HUWILIFT MAXI (C )(135042+135044+135045)</v>
      </c>
      <c r="H928" s="2"/>
      <c r="K928" s="11"/>
      <c r="O928"/>
    </row>
    <row r="929" spans="2:15" ht="14.25" customHeight="1">
      <c r="B929" s="2" t="s">
        <v>712</v>
      </c>
      <c r="C929" s="23" t="s">
        <v>735</v>
      </c>
      <c r="D929" s="24" t="s">
        <v>738</v>
      </c>
      <c r="E929" s="24" t="s">
        <v>742</v>
      </c>
      <c r="F929" s="2" t="str">
        <f t="shared" si="18"/>
        <v>HUWILIFT MAXI (D)(135043+135044+135024)</v>
      </c>
      <c r="G929" s="2" t="str">
        <f t="shared" si="19"/>
        <v>HUWILIFT MAXI (D)(135043+135044+135045)</v>
      </c>
      <c r="H929" s="2"/>
      <c r="K929" s="11"/>
      <c r="O929"/>
    </row>
    <row r="930" spans="2:15" ht="14.25" customHeight="1">
      <c r="B930" s="2" t="s">
        <v>712</v>
      </c>
      <c r="C930" s="23" t="s">
        <v>714</v>
      </c>
      <c r="D930" s="24" t="s">
        <v>934</v>
      </c>
      <c r="E930" s="24" t="s">
        <v>744</v>
      </c>
      <c r="F930" s="2" t="str">
        <f t="shared" si="18"/>
        <v>KRABY 164 45N(135006+15595-9 +15598)</v>
      </c>
      <c r="G930" s="2" t="str">
        <f t="shared" si="19"/>
        <v>KRABY 164 45N(135006+15595+15596)</v>
      </c>
      <c r="H930" s="2"/>
      <c r="K930" s="11"/>
      <c r="O930"/>
    </row>
    <row r="931" spans="2:15" ht="14.25" customHeight="1">
      <c r="B931" s="2" t="s">
        <v>712</v>
      </c>
      <c r="C931" s="23" t="s">
        <v>715</v>
      </c>
      <c r="D931" s="24" t="s">
        <v>935</v>
      </c>
      <c r="E931" s="24" t="s">
        <v>745</v>
      </c>
      <c r="F931" s="2" t="str">
        <f t="shared" si="18"/>
        <v>KRABY 164 60N(135007+15595-9 +15598)</v>
      </c>
      <c r="G931" s="2" t="str">
        <f t="shared" si="19"/>
        <v>KRABY 164 60N(135007+15595+15596)</v>
      </c>
      <c r="H931" s="2"/>
      <c r="K931" s="11"/>
      <c r="O931"/>
    </row>
    <row r="932" spans="2:15" ht="14.25" customHeight="1">
      <c r="B932" s="2" t="s">
        <v>712</v>
      </c>
      <c r="C932" s="23" t="s">
        <v>716</v>
      </c>
      <c r="D932" s="24" t="s">
        <v>936</v>
      </c>
      <c r="E932" s="24" t="s">
        <v>746</v>
      </c>
      <c r="F932" s="2" t="str">
        <f t="shared" si="18"/>
        <v>KRABY 244 45N(15590+15595-9 +15598)</v>
      </c>
      <c r="G932" s="2" t="str">
        <f t="shared" si="19"/>
        <v>KRABY 244 45N(15590+15595+15596)</v>
      </c>
      <c r="H932" s="2"/>
      <c r="K932" s="11"/>
      <c r="O932"/>
    </row>
    <row r="933" spans="2:15" ht="14.25" customHeight="1">
      <c r="B933" s="2" t="s">
        <v>712</v>
      </c>
      <c r="C933" s="23" t="s">
        <v>717</v>
      </c>
      <c r="D933" s="24" t="s">
        <v>937</v>
      </c>
      <c r="E933" s="24" t="s">
        <v>747</v>
      </c>
      <c r="F933" s="2" t="str">
        <f t="shared" si="18"/>
        <v>KRABY 244 60N(15591+15595-9 +15598)</v>
      </c>
      <c r="G933" s="2" t="str">
        <f t="shared" si="19"/>
        <v>KRABY 244 60N(15591+15595+15596)</v>
      </c>
      <c r="H933" s="2"/>
      <c r="K933" s="11"/>
      <c r="O933"/>
    </row>
    <row r="934" spans="2:15" ht="14.25" customHeight="1">
      <c r="B934" s="2" t="s">
        <v>712</v>
      </c>
      <c r="C934" s="23" t="s">
        <v>718</v>
      </c>
      <c r="D934" s="24" t="s">
        <v>938</v>
      </c>
      <c r="E934" s="24" t="s">
        <v>748</v>
      </c>
      <c r="F934" s="2" t="str">
        <f t="shared" si="18"/>
        <v>KRABY 244 90N(15592+15595-9 +15598)</v>
      </c>
      <c r="G934" s="2" t="str">
        <f t="shared" si="19"/>
        <v>KRABY 244 90N(15592+15595+15596)</v>
      </c>
      <c r="H934" s="2"/>
      <c r="K934" s="11"/>
      <c r="O934"/>
    </row>
    <row r="935" spans="2:15" ht="14.25" customHeight="1">
      <c r="B935" s="2" t="s">
        <v>712</v>
      </c>
      <c r="C935" s="23" t="s">
        <v>719</v>
      </c>
      <c r="D935" s="24" t="s">
        <v>939</v>
      </c>
      <c r="E935" s="24" t="s">
        <v>749</v>
      </c>
      <c r="F935" s="2" t="str">
        <f t="shared" si="18"/>
        <v>KRABY 244 120N(15593+15595-9 +15598)</v>
      </c>
      <c r="G935" s="2" t="str">
        <f t="shared" si="19"/>
        <v>KRABY 244 120N(15593+15595+15596)</v>
      </c>
      <c r="H935" s="2"/>
      <c r="K935" s="11"/>
      <c r="O935"/>
    </row>
    <row r="936" spans="2:15" ht="14.25" customHeight="1">
      <c r="B936" s="2" t="s">
        <v>712</v>
      </c>
      <c r="C936" s="23" t="s">
        <v>720</v>
      </c>
      <c r="D936" s="24" t="s">
        <v>940</v>
      </c>
      <c r="E936" s="24" t="s">
        <v>750</v>
      </c>
      <c r="F936" s="2" t="str">
        <f t="shared" si="18"/>
        <v>KRABY 355 45N(135008+15595-9 +15598)</v>
      </c>
      <c r="G936" s="2" t="str">
        <f t="shared" si="19"/>
        <v>KRABY 355 45N(135008+15595+15596)</v>
      </c>
      <c r="H936" s="2"/>
      <c r="K936" s="11"/>
      <c r="O936"/>
    </row>
    <row r="937" spans="2:15" ht="14.25" customHeight="1">
      <c r="B937" s="2" t="s">
        <v>712</v>
      </c>
      <c r="C937" s="23" t="s">
        <v>721</v>
      </c>
      <c r="D937" s="24" t="s">
        <v>941</v>
      </c>
      <c r="E937" s="24" t="s">
        <v>751</v>
      </c>
      <c r="F937" s="2" t="str">
        <f t="shared" si="18"/>
        <v>KRABY 355 60N(135009+15595-9 +15598)</v>
      </c>
      <c r="G937" s="2" t="str">
        <f t="shared" si="19"/>
        <v>KRABY 355 60N(135009+15595+15596)</v>
      </c>
      <c r="H937" s="2"/>
      <c r="K937" s="11"/>
      <c r="O937"/>
    </row>
    <row r="938" spans="2:15" ht="14.25" customHeight="1">
      <c r="B938" s="2" t="s">
        <v>712</v>
      </c>
      <c r="C938" s="23" t="s">
        <v>722</v>
      </c>
      <c r="D938" s="24" t="s">
        <v>942</v>
      </c>
      <c r="E938" s="24" t="s">
        <v>752</v>
      </c>
      <c r="F938" s="2" t="str">
        <f t="shared" si="18"/>
        <v>KRABY 355 90N(135010+15595-9 +15598)</v>
      </c>
      <c r="G938" s="2" t="str">
        <f t="shared" si="19"/>
        <v>KRABY 355 90N(135010+15595+15596)</v>
      </c>
      <c r="H938" s="2"/>
      <c r="K938" s="11"/>
      <c r="O938"/>
    </row>
    <row r="939" spans="2:15" ht="14.25" customHeight="1">
      <c r="B939" s="2" t="s">
        <v>712</v>
      </c>
      <c r="C939" s="23" t="s">
        <v>723</v>
      </c>
      <c r="D939" s="24" t="s">
        <v>943</v>
      </c>
      <c r="E939" s="24" t="s">
        <v>753</v>
      </c>
      <c r="F939" s="2" t="str">
        <f t="shared" si="18"/>
        <v>KRABY 355 120N(135011+15595-9 +15598)</v>
      </c>
      <c r="G939" s="2" t="str">
        <f t="shared" si="19"/>
        <v>KRABY 355 120N(135011+15595+15596)</v>
      </c>
      <c r="H939" s="2"/>
      <c r="K939" s="11"/>
      <c r="O939"/>
    </row>
    <row r="940" spans="2:15" ht="14.25" customHeight="1">
      <c r="B940" s="2" t="s">
        <v>763</v>
      </c>
      <c r="C940" s="23" t="s">
        <v>815</v>
      </c>
      <c r="D940" s="24" t="s">
        <v>757</v>
      </c>
      <c r="E940" s="2" t="s">
        <v>758</v>
      </c>
      <c r="F940" s="2" t="str">
        <f t="shared" si="18"/>
        <v>HUWIL DUO (90°)(135017+135019+135024)</v>
      </c>
      <c r="G940" s="2" t="str">
        <f t="shared" si="19"/>
        <v>HUWIL DUO (90°)(135017+135019+135021)</v>
      </c>
      <c r="H940" s="2"/>
      <c r="K940" s="11"/>
      <c r="O940"/>
    </row>
    <row r="941" spans="2:15" ht="14.25" customHeight="1">
      <c r="B941" s="2" t="s">
        <v>713</v>
      </c>
      <c r="C941" s="23" t="s">
        <v>85</v>
      </c>
      <c r="D941" s="24" t="s">
        <v>732</v>
      </c>
      <c r="E941" s="2" t="s">
        <v>732</v>
      </c>
      <c r="F941" s="2" t="str">
        <f>CONCATENATE(C941,"",$B$250,"",D941)</f>
        <v>STRONGspodní(15490+15490)</v>
      </c>
      <c r="G941" s="2" t="str">
        <f>CONCATENATE(C941,"",$B$250,"",E941)</f>
        <v>STRONGspodní(15490+15490)</v>
      </c>
      <c r="H941" s="2"/>
      <c r="K941" s="11"/>
      <c r="O941"/>
    </row>
    <row r="942" spans="2:15" ht="14.25" customHeight="1">
      <c r="B942" s="2" t="s">
        <v>713</v>
      </c>
      <c r="C942" s="23" t="s">
        <v>760</v>
      </c>
      <c r="D942" s="24" t="s">
        <v>944</v>
      </c>
      <c r="E942" s="24" t="s">
        <v>754</v>
      </c>
      <c r="F942" s="2" t="str">
        <f>CONCATENATE(C942,"",$B$250,"",D942)</f>
        <v>KRABY 164spodní(15588+15595-9 +15598)</v>
      </c>
      <c r="G942" s="2" t="str">
        <f>CONCATENATE(C942,"",$B$250,"",E942)</f>
        <v>KRABY 164spodní(15588+15595+15596)</v>
      </c>
      <c r="H942" s="2"/>
      <c r="K942" s="11"/>
      <c r="O942"/>
    </row>
    <row r="943" spans="2:15" ht="14.25" customHeight="1">
      <c r="B943" s="2" t="s">
        <v>713</v>
      </c>
      <c r="C943" s="23" t="s">
        <v>761</v>
      </c>
      <c r="D943" s="24" t="s">
        <v>945</v>
      </c>
      <c r="E943" s="24" t="s">
        <v>755</v>
      </c>
      <c r="F943" s="2" t="str">
        <f>CONCATENATE(C943,"",$B$250,"",D943)</f>
        <v>KRABY 244spodní(15594+15595-9 +15598)</v>
      </c>
      <c r="G943" s="2" t="str">
        <f>CONCATENATE(C943,"",$B$250,"",E943)</f>
        <v>KRABY 244spodní(15594+15595+15596)</v>
      </c>
      <c r="H943" s="2"/>
      <c r="K943" s="11"/>
      <c r="O943"/>
    </row>
    <row r="944" spans="2:15" ht="14.25" customHeight="1">
      <c r="B944" s="2" t="s">
        <v>713</v>
      </c>
      <c r="C944" s="23" t="s">
        <v>762</v>
      </c>
      <c r="D944" s="24" t="s">
        <v>946</v>
      </c>
      <c r="E944" s="24" t="s">
        <v>756</v>
      </c>
      <c r="F944" s="2" t="str">
        <f>CONCATENATE(C944,"",$B$250,"",D944)</f>
        <v>KRABY 355spodní(15589+15595-9 +15598)</v>
      </c>
      <c r="G944" s="2" t="str">
        <f>CONCATENATE(C944,"",$B$250,"",E944)</f>
        <v>KRABY 355spodní(15589+15595+15596)</v>
      </c>
      <c r="H944" s="2"/>
      <c r="K944" s="11"/>
      <c r="O944"/>
    </row>
    <row r="945" spans="2:15" ht="14.25" customHeight="1">
      <c r="B945" s="2"/>
      <c r="C945" s="23"/>
      <c r="D945" s="24"/>
      <c r="E945" s="2"/>
      <c r="F945" s="2"/>
      <c r="G945" s="2"/>
      <c r="H945" s="2"/>
      <c r="K945" s="11"/>
      <c r="O945"/>
    </row>
    <row r="946" spans="2:15" ht="14.25" customHeight="1">
      <c r="B946" s="2"/>
      <c r="C946" s="23"/>
      <c r="D946" s="24"/>
      <c r="E946" s="2"/>
      <c r="F946" s="2"/>
      <c r="G946" s="2"/>
      <c r="H946" s="2"/>
      <c r="K946" s="11" t="s">
        <v>629</v>
      </c>
      <c r="O946"/>
    </row>
    <row r="947" spans="2:15" ht="14.25" customHeight="1">
      <c r="B947" s="2"/>
      <c r="C947" s="23"/>
      <c r="D947" s="24"/>
      <c r="E947" s="2"/>
      <c r="F947" s="2"/>
      <c r="G947" s="2"/>
      <c r="H947" s="2"/>
      <c r="K947" s="11"/>
      <c r="O947"/>
    </row>
    <row r="948" spans="2:15" ht="14.25" customHeight="1">
      <c r="B948" s="2"/>
      <c r="C948" s="23"/>
      <c r="D948" s="24"/>
      <c r="E948" s="2"/>
      <c r="F948" s="2"/>
      <c r="G948" s="2"/>
      <c r="H948" s="2"/>
      <c r="K948" s="11"/>
      <c r="O948"/>
    </row>
    <row r="949" spans="2:15" ht="14.25" customHeight="1">
      <c r="B949" s="2"/>
      <c r="C949" s="23"/>
      <c r="D949" s="24"/>
      <c r="E949" s="2"/>
      <c r="F949" s="2"/>
      <c r="G949" s="2"/>
      <c r="H949" s="2"/>
      <c r="K949" s="11"/>
      <c r="O949"/>
    </row>
    <row r="950" spans="2:15">
      <c r="B950" s="1">
        <v>15555</v>
      </c>
      <c r="C950" s="1" t="s">
        <v>199</v>
      </c>
      <c r="D950" s="24" t="str">
        <f t="shared" ref="D950:D964" si="20">CONCATENATE(C950," (",(B950),")")</f>
        <v>Gamma 30N (15555)</v>
      </c>
      <c r="E950">
        <f t="shared" ref="E950:E971" si="21">IF($D$1=1,F:F,IF($D$1=2,G:G,IF($D$1=3,H:H,IF($D$1=4,I:I,IF($D$1=5,J:J)))))</f>
        <v>199</v>
      </c>
      <c r="F950">
        <f t="shared" ref="F950:F963" si="22">VLOOKUP(B950,$B$975:$H$1073,4)</f>
        <v>199</v>
      </c>
      <c r="G950">
        <f t="shared" ref="G950:G963" si="23">VLOOKUP(B950,$B$975:$H$1073,5)</f>
        <v>8.4144000000000005</v>
      </c>
      <c r="H950">
        <f t="shared" ref="H950:H963" si="24">VLOOKUP(B950,$B$975:$H$1073,6)</f>
        <v>24.875</v>
      </c>
      <c r="I950">
        <f t="shared" ref="I950:I963" si="25">VLOOKUP(B950,$B$975:$H$1073,7)</f>
        <v>1838.587</v>
      </c>
      <c r="O950"/>
    </row>
    <row r="951" spans="2:15">
      <c r="B951" s="1">
        <v>15556</v>
      </c>
      <c r="C951" s="1" t="s">
        <v>200</v>
      </c>
      <c r="D951" s="24" t="str">
        <f t="shared" si="20"/>
        <v>Gamma 60N (15556)</v>
      </c>
      <c r="E951">
        <f t="shared" si="21"/>
        <v>199</v>
      </c>
      <c r="F951">
        <f t="shared" si="22"/>
        <v>199</v>
      </c>
      <c r="G951">
        <f t="shared" si="23"/>
        <v>8.4144000000000005</v>
      </c>
      <c r="H951">
        <f t="shared" si="24"/>
        <v>24.875</v>
      </c>
      <c r="I951">
        <f t="shared" si="25"/>
        <v>1838.587</v>
      </c>
      <c r="O951"/>
    </row>
    <row r="952" spans="2:15">
      <c r="B952" s="1">
        <v>15557</v>
      </c>
      <c r="C952" s="1" t="s">
        <v>201</v>
      </c>
      <c r="D952" s="24" t="str">
        <f t="shared" si="20"/>
        <v>Gamma 80N (15557)</v>
      </c>
      <c r="E952">
        <f t="shared" si="21"/>
        <v>199</v>
      </c>
      <c r="F952">
        <f t="shared" si="22"/>
        <v>199</v>
      </c>
      <c r="G952">
        <f t="shared" si="23"/>
        <v>8.4144000000000005</v>
      </c>
      <c r="H952">
        <f t="shared" si="24"/>
        <v>24.875</v>
      </c>
      <c r="I952">
        <f t="shared" si="25"/>
        <v>1838.587</v>
      </c>
      <c r="O952"/>
    </row>
    <row r="953" spans="2:15">
      <c r="B953" s="1">
        <v>15558</v>
      </c>
      <c r="C953" s="1" t="s">
        <v>202</v>
      </c>
      <c r="D953" s="24" t="str">
        <f t="shared" si="20"/>
        <v>Gamma 100N (15558)</v>
      </c>
      <c r="E953">
        <f t="shared" si="21"/>
        <v>199</v>
      </c>
      <c r="F953">
        <f t="shared" si="22"/>
        <v>199</v>
      </c>
      <c r="G953">
        <f t="shared" si="23"/>
        <v>8.4144000000000005</v>
      </c>
      <c r="H953">
        <f t="shared" si="24"/>
        <v>24.875</v>
      </c>
      <c r="I953">
        <f t="shared" si="25"/>
        <v>1838.587</v>
      </c>
      <c r="O953"/>
    </row>
    <row r="954" spans="2:15">
      <c r="B954" s="1">
        <v>15559</v>
      </c>
      <c r="C954" s="1" t="s">
        <v>203</v>
      </c>
      <c r="D954" s="24" t="str">
        <f t="shared" si="20"/>
        <v>Gamma 120N (15559)</v>
      </c>
      <c r="E954">
        <f t="shared" si="21"/>
        <v>199</v>
      </c>
      <c r="F954">
        <f t="shared" si="22"/>
        <v>199</v>
      </c>
      <c r="G954">
        <f t="shared" si="23"/>
        <v>8.4144000000000005</v>
      </c>
      <c r="H954">
        <f t="shared" si="24"/>
        <v>24.875</v>
      </c>
      <c r="I954">
        <f t="shared" si="25"/>
        <v>1838.587</v>
      </c>
      <c r="O954"/>
    </row>
    <row r="955" spans="2:15">
      <c r="B955" s="1">
        <v>15580</v>
      </c>
      <c r="C955" s="1" t="s">
        <v>223</v>
      </c>
      <c r="D955" s="24" t="str">
        <f t="shared" si="20"/>
        <v>STRONG 30N (15580)</v>
      </c>
      <c r="E955">
        <f t="shared" si="21"/>
        <v>50</v>
      </c>
      <c r="F955">
        <f t="shared" si="22"/>
        <v>50</v>
      </c>
      <c r="G955">
        <f t="shared" si="23"/>
        <v>2.1141999999999999</v>
      </c>
      <c r="H955">
        <f t="shared" si="24"/>
        <v>6.25</v>
      </c>
      <c r="I955">
        <f t="shared" si="25"/>
        <v>461.95650000000001</v>
      </c>
      <c r="O955"/>
    </row>
    <row r="956" spans="2:15">
      <c r="B956" s="1">
        <v>15581</v>
      </c>
      <c r="C956" s="1" t="s">
        <v>224</v>
      </c>
      <c r="D956" s="24" t="str">
        <f t="shared" si="20"/>
        <v>STRONG 60N (15581)</v>
      </c>
      <c r="E956">
        <f t="shared" si="21"/>
        <v>50</v>
      </c>
      <c r="F956">
        <f t="shared" si="22"/>
        <v>50</v>
      </c>
      <c r="G956">
        <f t="shared" si="23"/>
        <v>2.1141999999999999</v>
      </c>
      <c r="H956">
        <f t="shared" si="24"/>
        <v>6.25</v>
      </c>
      <c r="I956">
        <f t="shared" si="25"/>
        <v>461.95650000000001</v>
      </c>
      <c r="O956"/>
    </row>
    <row r="957" spans="2:15">
      <c r="B957" s="1">
        <v>15582</v>
      </c>
      <c r="C957" s="1" t="s">
        <v>225</v>
      </c>
      <c r="D957" s="24" t="str">
        <f t="shared" si="20"/>
        <v>STRONG 80N (15582)</v>
      </c>
      <c r="E957">
        <f t="shared" si="21"/>
        <v>50</v>
      </c>
      <c r="F957">
        <f t="shared" si="22"/>
        <v>50</v>
      </c>
      <c r="G957">
        <f t="shared" si="23"/>
        <v>2.1141999999999999</v>
      </c>
      <c r="H957">
        <f t="shared" si="24"/>
        <v>6.25</v>
      </c>
      <c r="I957">
        <f t="shared" si="25"/>
        <v>461.95650000000001</v>
      </c>
      <c r="O957"/>
    </row>
    <row r="958" spans="2:15">
      <c r="B958" s="1">
        <v>15583</v>
      </c>
      <c r="C958" s="1" t="s">
        <v>226</v>
      </c>
      <c r="D958" s="24" t="str">
        <f t="shared" si="20"/>
        <v>STRONG 100N (15583)</v>
      </c>
      <c r="E958">
        <f t="shared" si="21"/>
        <v>50</v>
      </c>
      <c r="F958">
        <f t="shared" si="22"/>
        <v>50</v>
      </c>
      <c r="G958">
        <f t="shared" si="23"/>
        <v>2.1141999999999999</v>
      </c>
      <c r="H958">
        <f t="shared" si="24"/>
        <v>6.25</v>
      </c>
      <c r="I958">
        <f t="shared" si="25"/>
        <v>461.95650000000001</v>
      </c>
      <c r="O958"/>
    </row>
    <row r="959" spans="2:15">
      <c r="B959" s="1">
        <v>15584</v>
      </c>
      <c r="C959" s="1" t="s">
        <v>227</v>
      </c>
      <c r="D959" s="24" t="str">
        <f t="shared" si="20"/>
        <v>STRONG 120N (15584)</v>
      </c>
      <c r="E959">
        <f t="shared" si="21"/>
        <v>50</v>
      </c>
      <c r="F959">
        <f t="shared" si="22"/>
        <v>50</v>
      </c>
      <c r="G959">
        <f t="shared" si="23"/>
        <v>2.1141999999999999</v>
      </c>
      <c r="H959">
        <f t="shared" si="24"/>
        <v>6.25</v>
      </c>
      <c r="I959">
        <f t="shared" si="25"/>
        <v>461.95650000000001</v>
      </c>
      <c r="O959"/>
    </row>
    <row r="960" spans="2:15">
      <c r="B960" s="1">
        <v>15590</v>
      </c>
      <c r="C960" s="1" t="s">
        <v>205</v>
      </c>
      <c r="D960" s="24" t="str">
        <f t="shared" si="20"/>
        <v>45N Kraby 244 (15590)</v>
      </c>
      <c r="E960">
        <f t="shared" si="21"/>
        <v>299.89999999999998</v>
      </c>
      <c r="F960">
        <f t="shared" si="22"/>
        <v>299.89999999999998</v>
      </c>
      <c r="G960">
        <f t="shared" si="23"/>
        <v>12.6808</v>
      </c>
      <c r="H960">
        <f t="shared" si="24"/>
        <v>37.487499999999997</v>
      </c>
      <c r="I960">
        <f t="shared" si="25"/>
        <v>2770.8152</v>
      </c>
      <c r="O960"/>
    </row>
    <row r="961" spans="2:15">
      <c r="B961" s="1">
        <v>15591</v>
      </c>
      <c r="C961" s="1" t="s">
        <v>206</v>
      </c>
      <c r="D961" s="24" t="str">
        <f t="shared" si="20"/>
        <v>60N Kraby 244 (15591)</v>
      </c>
      <c r="E961">
        <f t="shared" si="21"/>
        <v>299.89999999999998</v>
      </c>
      <c r="F961">
        <f t="shared" si="22"/>
        <v>299.89999999999998</v>
      </c>
      <c r="G961">
        <f t="shared" si="23"/>
        <v>12.6808</v>
      </c>
      <c r="H961">
        <f t="shared" si="24"/>
        <v>37.487499999999997</v>
      </c>
      <c r="I961">
        <f t="shared" si="25"/>
        <v>2770.8152</v>
      </c>
      <c r="O961"/>
    </row>
    <row r="962" spans="2:15">
      <c r="B962" s="1">
        <v>15592</v>
      </c>
      <c r="C962" s="1" t="s">
        <v>207</v>
      </c>
      <c r="D962" s="24" t="str">
        <f t="shared" si="20"/>
        <v>90N Kraby 244 (15592)</v>
      </c>
      <c r="E962">
        <f t="shared" si="21"/>
        <v>299.89999999999998</v>
      </c>
      <c r="F962">
        <f t="shared" si="22"/>
        <v>299.89999999999998</v>
      </c>
      <c r="G962">
        <f t="shared" si="23"/>
        <v>12.6808</v>
      </c>
      <c r="H962">
        <f t="shared" si="24"/>
        <v>37.487499999999997</v>
      </c>
      <c r="I962">
        <f t="shared" si="25"/>
        <v>2770.8152</v>
      </c>
      <c r="O962"/>
    </row>
    <row r="963" spans="2:15">
      <c r="B963" s="1">
        <v>15593</v>
      </c>
      <c r="C963" s="1" t="s">
        <v>208</v>
      </c>
      <c r="D963" s="24" t="str">
        <f t="shared" si="20"/>
        <v>120N Kraby 244 (15593)</v>
      </c>
      <c r="E963">
        <f t="shared" si="21"/>
        <v>299.89999999999998</v>
      </c>
      <c r="F963">
        <f t="shared" si="22"/>
        <v>299.89999999999998</v>
      </c>
      <c r="G963">
        <f t="shared" si="23"/>
        <v>12.6808</v>
      </c>
      <c r="H963">
        <f t="shared" si="24"/>
        <v>37.487499999999997</v>
      </c>
      <c r="I963">
        <f t="shared" si="25"/>
        <v>2770.8152</v>
      </c>
      <c r="O963"/>
    </row>
    <row r="964" spans="2:15">
      <c r="B964" s="1" t="s">
        <v>591</v>
      </c>
      <c r="C964" s="1" t="s">
        <v>590</v>
      </c>
      <c r="D964" s="24" t="str">
        <f t="shared" si="20"/>
        <v>FGV-Aero Wing (AW007)</v>
      </c>
      <c r="E964">
        <f t="shared" si="21"/>
        <v>159</v>
      </c>
      <c r="F964">
        <v>159</v>
      </c>
      <c r="G964">
        <v>6.7229999999999999</v>
      </c>
      <c r="H964">
        <v>19.875</v>
      </c>
      <c r="I964">
        <v>1469.0217</v>
      </c>
      <c r="O964"/>
    </row>
    <row r="965" spans="2:15">
      <c r="B965" s="1">
        <v>15585</v>
      </c>
      <c r="C965" s="1" t="s">
        <v>335</v>
      </c>
      <c r="E965">
        <f t="shared" si="21"/>
        <v>3.1249699999999998</v>
      </c>
      <c r="F965">
        <f t="shared" ref="F965:F971" si="26">VLOOKUP(B965,$B$975:$H$1073,4)</f>
        <v>3.1249699999999998</v>
      </c>
      <c r="G965">
        <f t="shared" ref="G965:G971" si="27">VLOOKUP(B965,$B$975:$H$1073,5)</f>
        <v>0.1321</v>
      </c>
      <c r="H965">
        <f t="shared" ref="H965:H971" si="28">VLOOKUP(B965,$B$975:$H$1073,6)</f>
        <v>0.3906</v>
      </c>
      <c r="I965">
        <f t="shared" ref="I965:I971" si="29">VLOOKUP(B965,$B$975:$H$1073,7)</f>
        <v>28.872</v>
      </c>
      <c r="O965"/>
    </row>
    <row r="966" spans="2:15">
      <c r="B966" s="1">
        <v>15538</v>
      </c>
      <c r="C966" s="1" t="s">
        <v>204</v>
      </c>
      <c r="E966">
        <f t="shared" si="21"/>
        <v>10.8</v>
      </c>
      <c r="F966">
        <f t="shared" si="26"/>
        <v>10.8</v>
      </c>
      <c r="G966">
        <f t="shared" si="27"/>
        <v>0.45669999999999999</v>
      </c>
      <c r="H966">
        <f t="shared" si="28"/>
        <v>1.35</v>
      </c>
      <c r="I966">
        <f t="shared" si="29"/>
        <v>99.782600000000002</v>
      </c>
      <c r="O966"/>
    </row>
    <row r="967" spans="2:15">
      <c r="B967" s="1">
        <v>15595</v>
      </c>
      <c r="C967" s="1" t="s">
        <v>336</v>
      </c>
      <c r="E967">
        <f t="shared" si="21"/>
        <v>13.4</v>
      </c>
      <c r="F967">
        <f t="shared" si="26"/>
        <v>13.4</v>
      </c>
      <c r="G967">
        <f t="shared" si="27"/>
        <v>0.56659999999999999</v>
      </c>
      <c r="H967">
        <f t="shared" si="28"/>
        <v>1.675</v>
      </c>
      <c r="I967">
        <f t="shared" si="29"/>
        <v>123.8044</v>
      </c>
      <c r="O967"/>
    </row>
    <row r="968" spans="2:15">
      <c r="B968" s="1">
        <v>15596</v>
      </c>
      <c r="C968" s="1" t="s">
        <v>337</v>
      </c>
      <c r="E968">
        <f t="shared" si="21"/>
        <v>11.9</v>
      </c>
      <c r="F968">
        <f t="shared" si="26"/>
        <v>11.9</v>
      </c>
      <c r="G968">
        <f t="shared" si="27"/>
        <v>0.50319999999999998</v>
      </c>
      <c r="H968">
        <f t="shared" si="28"/>
        <v>1.4875</v>
      </c>
      <c r="I968">
        <f t="shared" si="29"/>
        <v>109.9457</v>
      </c>
      <c r="O968"/>
    </row>
    <row r="969" spans="2:15">
      <c r="B969" s="1">
        <v>15597</v>
      </c>
      <c r="C969" s="1" t="s">
        <v>338</v>
      </c>
      <c r="E969">
        <f t="shared" si="21"/>
        <v>11.423999999999999</v>
      </c>
      <c r="F969">
        <f t="shared" si="26"/>
        <v>11.423999999999999</v>
      </c>
      <c r="G969">
        <f t="shared" si="27"/>
        <v>0.48299999999999998</v>
      </c>
      <c r="H969">
        <f t="shared" si="28"/>
        <v>1.4279999999999999</v>
      </c>
      <c r="I969">
        <f t="shared" si="29"/>
        <v>105.5478</v>
      </c>
      <c r="O969"/>
    </row>
    <row r="970" spans="2:15">
      <c r="B970" s="1">
        <v>15598</v>
      </c>
      <c r="C970" s="1" t="s">
        <v>339</v>
      </c>
      <c r="E970">
        <f t="shared" si="21"/>
        <v>0.52359999999999995</v>
      </c>
      <c r="F970">
        <f t="shared" si="26"/>
        <v>0.52359999999999995</v>
      </c>
      <c r="G970">
        <f t="shared" si="27"/>
        <v>2.2100000000000002E-2</v>
      </c>
      <c r="H970">
        <f t="shared" si="28"/>
        <v>6.5500000000000003E-2</v>
      </c>
      <c r="I970">
        <f t="shared" si="29"/>
        <v>4.8376000000000001</v>
      </c>
      <c r="O970"/>
    </row>
    <row r="971" spans="2:15">
      <c r="B971" s="1">
        <v>15599</v>
      </c>
      <c r="C971" s="1" t="s">
        <v>340</v>
      </c>
      <c r="E971">
        <f t="shared" si="21"/>
        <v>0.80920000000000003</v>
      </c>
      <c r="F971">
        <f t="shared" si="26"/>
        <v>0.80920000000000003</v>
      </c>
      <c r="G971">
        <f t="shared" si="27"/>
        <v>3.4200000000000001E-2</v>
      </c>
      <c r="H971">
        <f t="shared" si="28"/>
        <v>0.1012</v>
      </c>
      <c r="I971">
        <f t="shared" si="29"/>
        <v>7.4763000000000002</v>
      </c>
      <c r="O971"/>
    </row>
    <row r="972" spans="2:15">
      <c r="B972" s="1">
        <v>0</v>
      </c>
      <c r="E972">
        <v>0</v>
      </c>
      <c r="O972"/>
    </row>
    <row r="974" spans="2:15">
      <c r="B974" s="28" t="s">
        <v>331</v>
      </c>
      <c r="C974" s="28" t="s">
        <v>20</v>
      </c>
      <c r="D974" s="28" t="s">
        <v>332</v>
      </c>
      <c r="E974" s="28" t="s">
        <v>333</v>
      </c>
      <c r="F974" s="28" t="s">
        <v>334</v>
      </c>
      <c r="G974" s="28" t="s">
        <v>108</v>
      </c>
      <c r="H974" s="28" t="s">
        <v>109</v>
      </c>
      <c r="O974"/>
    </row>
    <row r="975" spans="2:15">
      <c r="B975" s="25">
        <v>15500</v>
      </c>
      <c r="C975" s="27" t="s">
        <v>229</v>
      </c>
      <c r="D975" s="27" t="s">
        <v>230</v>
      </c>
      <c r="E975" s="26">
        <v>97.995000000000005</v>
      </c>
      <c r="F975" s="26">
        <v>4.1436000000000002</v>
      </c>
      <c r="G975" s="26">
        <v>13.066000000000001</v>
      </c>
      <c r="H975" s="26">
        <v>905.3886</v>
      </c>
      <c r="O975"/>
    </row>
    <row r="976" spans="2:15">
      <c r="B976" s="25">
        <v>15501</v>
      </c>
      <c r="C976" s="27" t="s">
        <v>231</v>
      </c>
      <c r="D976" s="27" t="s">
        <v>230</v>
      </c>
      <c r="E976" s="26">
        <v>31.957999999999998</v>
      </c>
      <c r="F976" s="26">
        <v>1.3512999999999999</v>
      </c>
      <c r="G976" s="26">
        <v>4.2610999999999999</v>
      </c>
      <c r="H976" s="26">
        <v>295.26409999999998</v>
      </c>
      <c r="O976"/>
    </row>
    <row r="977" spans="2:15">
      <c r="B977" s="25">
        <v>15502</v>
      </c>
      <c r="C977" s="27" t="s">
        <v>232</v>
      </c>
      <c r="D977" s="27" t="s">
        <v>230</v>
      </c>
      <c r="E977" s="26">
        <v>24.8</v>
      </c>
      <c r="F977" s="26">
        <v>1.0486</v>
      </c>
      <c r="G977" s="26">
        <v>3.3067000000000002</v>
      </c>
      <c r="H977" s="26">
        <v>229.13040000000001</v>
      </c>
      <c r="O977"/>
    </row>
    <row r="978" spans="2:15">
      <c r="B978" s="25">
        <v>15503</v>
      </c>
      <c r="C978" s="27" t="s">
        <v>233</v>
      </c>
      <c r="D978" s="27" t="s">
        <v>230</v>
      </c>
      <c r="E978" s="26">
        <v>36.042000000000002</v>
      </c>
      <c r="F978" s="26">
        <v>1.524</v>
      </c>
      <c r="G978" s="26">
        <v>4.8056000000000001</v>
      </c>
      <c r="H978" s="26">
        <v>332.99669999999998</v>
      </c>
      <c r="O978"/>
    </row>
    <row r="979" spans="2:15">
      <c r="B979" s="25">
        <v>15504</v>
      </c>
      <c r="C979" s="27" t="s">
        <v>234</v>
      </c>
      <c r="D979" s="27" t="s">
        <v>230</v>
      </c>
      <c r="E979" s="26">
        <v>32.917999999999999</v>
      </c>
      <c r="F979" s="26">
        <v>1.3918999999999999</v>
      </c>
      <c r="G979" s="26">
        <v>4.3891</v>
      </c>
      <c r="H979" s="26">
        <v>304.13369999999998</v>
      </c>
      <c r="O979"/>
    </row>
    <row r="980" spans="2:15">
      <c r="B980" s="25">
        <v>15505</v>
      </c>
      <c r="C980" s="27" t="s">
        <v>235</v>
      </c>
      <c r="D980" s="27" t="s">
        <v>230</v>
      </c>
      <c r="E980" s="26">
        <v>3.4950000000000001</v>
      </c>
      <c r="F980" s="26">
        <v>0.14779999999999999</v>
      </c>
      <c r="G980" s="26">
        <v>0.46600000000000003</v>
      </c>
      <c r="H980" s="26">
        <v>32.290799999999997</v>
      </c>
      <c r="O980"/>
    </row>
    <row r="981" spans="2:15">
      <c r="B981" s="25">
        <v>15506</v>
      </c>
      <c r="C981" s="27" t="s">
        <v>236</v>
      </c>
      <c r="D981" s="27" t="s">
        <v>230</v>
      </c>
      <c r="E981" s="26">
        <v>14.977</v>
      </c>
      <c r="F981" s="26">
        <v>0.63329999999999997</v>
      </c>
      <c r="G981" s="26">
        <v>1.9968999999999999</v>
      </c>
      <c r="H981" s="26">
        <v>138.37450000000001</v>
      </c>
      <c r="O981"/>
    </row>
    <row r="982" spans="2:15">
      <c r="B982" s="25">
        <v>15507</v>
      </c>
      <c r="C982" s="27" t="s">
        <v>237</v>
      </c>
      <c r="D982" s="27" t="s">
        <v>230</v>
      </c>
      <c r="E982" s="26">
        <v>39</v>
      </c>
      <c r="F982" s="26">
        <v>1.6491</v>
      </c>
      <c r="G982" s="26">
        <v>5.2</v>
      </c>
      <c r="H982" s="26">
        <v>360.3261</v>
      </c>
      <c r="O982"/>
    </row>
    <row r="983" spans="2:15">
      <c r="B983" s="25">
        <v>15508</v>
      </c>
      <c r="C983" s="27" t="s">
        <v>238</v>
      </c>
      <c r="D983" s="27" t="s">
        <v>230</v>
      </c>
      <c r="E983" s="26">
        <v>5</v>
      </c>
      <c r="F983" s="26">
        <v>0.2114</v>
      </c>
      <c r="G983" s="26">
        <v>0.66669999999999996</v>
      </c>
      <c r="H983" s="26">
        <v>46.195700000000002</v>
      </c>
      <c r="O983"/>
    </row>
    <row r="984" spans="2:15">
      <c r="B984" s="25">
        <v>15509</v>
      </c>
      <c r="C984" s="27" t="s">
        <v>239</v>
      </c>
      <c r="D984" s="27" t="s">
        <v>230</v>
      </c>
      <c r="E984" s="26">
        <v>2</v>
      </c>
      <c r="F984" s="26">
        <v>8.4599999999999995E-2</v>
      </c>
      <c r="G984" s="26">
        <v>0.26669999999999999</v>
      </c>
      <c r="H984" s="26">
        <v>18.478300000000001</v>
      </c>
      <c r="O984"/>
    </row>
    <row r="985" spans="2:15">
      <c r="B985" s="25">
        <v>15510</v>
      </c>
      <c r="C985" s="27" t="s">
        <v>240</v>
      </c>
      <c r="D985" s="27" t="s">
        <v>230</v>
      </c>
      <c r="E985" s="26">
        <v>4.9960000000000004</v>
      </c>
      <c r="F985" s="26">
        <v>0.21129999999999999</v>
      </c>
      <c r="G985" s="26">
        <v>0.54120000000000001</v>
      </c>
      <c r="H985" s="26">
        <v>40.728299999999997</v>
      </c>
      <c r="O985"/>
    </row>
    <row r="986" spans="2:15">
      <c r="B986" s="25">
        <v>15511</v>
      </c>
      <c r="C986" s="27" t="s">
        <v>241</v>
      </c>
      <c r="D986" s="27" t="s">
        <v>230</v>
      </c>
      <c r="E986" s="26">
        <v>2</v>
      </c>
      <c r="F986" s="26">
        <v>8.4599999999999995E-2</v>
      </c>
      <c r="G986" s="26">
        <v>0.26669999999999999</v>
      </c>
      <c r="H986" s="26">
        <v>18.478300000000001</v>
      </c>
      <c r="O986"/>
    </row>
    <row r="987" spans="2:15">
      <c r="B987" s="25">
        <v>15512</v>
      </c>
      <c r="C987" s="27" t="s">
        <v>242</v>
      </c>
      <c r="D987" s="27" t="s">
        <v>230</v>
      </c>
      <c r="E987" s="26">
        <v>121.8</v>
      </c>
      <c r="F987" s="26">
        <v>5.1501000000000001</v>
      </c>
      <c r="G987" s="26">
        <v>16.239999999999998</v>
      </c>
      <c r="H987" s="26">
        <v>1125.3261</v>
      </c>
      <c r="O987"/>
    </row>
    <row r="988" spans="2:15">
      <c r="B988" s="25">
        <v>15513</v>
      </c>
      <c r="C988" s="27" t="s">
        <v>243</v>
      </c>
      <c r="D988" s="27" t="s">
        <v>230</v>
      </c>
      <c r="E988" s="26">
        <v>117</v>
      </c>
      <c r="F988" s="26">
        <v>4.9471999999999996</v>
      </c>
      <c r="G988" s="26">
        <v>15.6</v>
      </c>
      <c r="H988" s="26">
        <v>1080.9783</v>
      </c>
      <c r="O988"/>
    </row>
    <row r="989" spans="2:15">
      <c r="B989" s="25">
        <v>15514</v>
      </c>
      <c r="C989" s="27" t="s">
        <v>244</v>
      </c>
      <c r="D989" s="27" t="s">
        <v>230</v>
      </c>
      <c r="E989" s="26">
        <v>4.9000000000000004</v>
      </c>
      <c r="F989" s="26">
        <v>0.2072</v>
      </c>
      <c r="G989" s="26">
        <v>0.65329999999999999</v>
      </c>
      <c r="H989" s="26">
        <v>45.271700000000003</v>
      </c>
      <c r="O989"/>
    </row>
    <row r="990" spans="2:15">
      <c r="B990" s="25">
        <v>15515</v>
      </c>
      <c r="C990" s="27" t="s">
        <v>245</v>
      </c>
      <c r="D990" s="27" t="s">
        <v>230</v>
      </c>
      <c r="E990" s="26">
        <v>1299</v>
      </c>
      <c r="F990" s="26">
        <v>54.926000000000002</v>
      </c>
      <c r="G990" s="26">
        <v>173.2</v>
      </c>
      <c r="H990" s="26">
        <v>12001.6304</v>
      </c>
      <c r="O990"/>
    </row>
    <row r="991" spans="2:15">
      <c r="B991" s="25">
        <v>15516</v>
      </c>
      <c r="C991" s="27" t="s">
        <v>246</v>
      </c>
      <c r="D991" s="27" t="s">
        <v>230</v>
      </c>
      <c r="E991" s="26">
        <v>1299</v>
      </c>
      <c r="F991" s="26">
        <v>54.926000000000002</v>
      </c>
      <c r="G991" s="26">
        <v>173.2</v>
      </c>
      <c r="H991" s="26">
        <v>12001.6304</v>
      </c>
      <c r="O991"/>
    </row>
    <row r="992" spans="2:15">
      <c r="B992" s="25">
        <v>15517</v>
      </c>
      <c r="C992" s="27" t="s">
        <v>247</v>
      </c>
      <c r="D992" s="27" t="s">
        <v>230</v>
      </c>
      <c r="E992" s="26">
        <v>59.4</v>
      </c>
      <c r="F992" s="26">
        <v>2.5116000000000001</v>
      </c>
      <c r="G992" s="26">
        <v>7.92</v>
      </c>
      <c r="H992" s="26">
        <v>548.80439999999999</v>
      </c>
      <c r="O992"/>
    </row>
    <row r="993" spans="2:15">
      <c r="B993" s="25">
        <v>15518</v>
      </c>
      <c r="C993" s="27" t="s">
        <v>248</v>
      </c>
      <c r="D993" s="27" t="s">
        <v>230</v>
      </c>
      <c r="E993" s="26">
        <v>3.4950000000000001</v>
      </c>
      <c r="F993" s="26">
        <v>0.14779999999999999</v>
      </c>
      <c r="G993" s="26">
        <v>0.46600000000000003</v>
      </c>
      <c r="H993" s="26">
        <v>32.290799999999997</v>
      </c>
      <c r="O993"/>
    </row>
    <row r="994" spans="2:15">
      <c r="B994" s="25">
        <v>15519</v>
      </c>
      <c r="C994" s="27" t="s">
        <v>249</v>
      </c>
      <c r="D994" s="27" t="s">
        <v>230</v>
      </c>
      <c r="E994" s="26">
        <v>78.245999999999995</v>
      </c>
      <c r="F994" s="26">
        <v>3.3085</v>
      </c>
      <c r="G994" s="26">
        <v>10.4328</v>
      </c>
      <c r="H994" s="26">
        <v>722.92499999999995</v>
      </c>
      <c r="O994"/>
    </row>
    <row r="995" spans="2:15">
      <c r="B995" s="25">
        <v>15520</v>
      </c>
      <c r="C995" s="27" t="s">
        <v>250</v>
      </c>
      <c r="D995" s="27" t="s">
        <v>230</v>
      </c>
      <c r="E995" s="26">
        <v>0.39900000000000002</v>
      </c>
      <c r="F995" s="26">
        <v>1.6899999999999998E-2</v>
      </c>
      <c r="G995" s="26">
        <v>5.3199999999999997E-2</v>
      </c>
      <c r="H995" s="26">
        <v>3.6863999999999999</v>
      </c>
      <c r="O995"/>
    </row>
    <row r="996" spans="2:15">
      <c r="B996" s="25">
        <v>15521</v>
      </c>
      <c r="C996" s="27" t="s">
        <v>251</v>
      </c>
      <c r="D996" s="27" t="s">
        <v>230</v>
      </c>
      <c r="E996" s="26">
        <v>153.56479999999999</v>
      </c>
      <c r="F996" s="26">
        <v>6.4931999999999999</v>
      </c>
      <c r="G996" s="26">
        <v>19.195599999999999</v>
      </c>
      <c r="H996" s="26">
        <v>1418.8052</v>
      </c>
      <c r="O996"/>
    </row>
    <row r="997" spans="2:15">
      <c r="B997" s="25">
        <v>15522</v>
      </c>
      <c r="C997" s="27" t="s">
        <v>252</v>
      </c>
      <c r="D997" s="27" t="s">
        <v>230</v>
      </c>
      <c r="E997" s="26">
        <v>159</v>
      </c>
      <c r="F997" s="26">
        <v>6.7229999999999999</v>
      </c>
      <c r="G997" s="26">
        <v>19.875</v>
      </c>
      <c r="H997" s="26">
        <v>1469.0217</v>
      </c>
      <c r="O997"/>
    </row>
    <row r="998" spans="2:15">
      <c r="B998" s="25">
        <v>15523</v>
      </c>
      <c r="C998" s="27" t="s">
        <v>253</v>
      </c>
      <c r="D998" s="27" t="s">
        <v>230</v>
      </c>
      <c r="E998" s="26">
        <v>159</v>
      </c>
      <c r="F998" s="26">
        <v>6.7229999999999999</v>
      </c>
      <c r="G998" s="26">
        <v>19.875</v>
      </c>
      <c r="H998" s="26">
        <v>1469.0217</v>
      </c>
      <c r="O998"/>
    </row>
    <row r="999" spans="2:15">
      <c r="B999" s="25">
        <v>15524</v>
      </c>
      <c r="C999" s="27" t="s">
        <v>254</v>
      </c>
      <c r="D999" s="27" t="s">
        <v>230</v>
      </c>
      <c r="E999" s="26">
        <v>1299</v>
      </c>
      <c r="F999" s="26">
        <v>54.926000000000002</v>
      </c>
      <c r="G999" s="26">
        <v>173.2</v>
      </c>
      <c r="H999" s="26">
        <v>12001.6304</v>
      </c>
      <c r="O999"/>
    </row>
    <row r="1000" spans="2:15">
      <c r="B1000" s="25">
        <v>15525</v>
      </c>
      <c r="C1000" s="27" t="s">
        <v>255</v>
      </c>
      <c r="D1000" s="27" t="s">
        <v>230</v>
      </c>
      <c r="E1000" s="26">
        <v>1189.92</v>
      </c>
      <c r="F1000" s="26">
        <v>50.313699999999997</v>
      </c>
      <c r="G1000" s="26">
        <v>148.74</v>
      </c>
      <c r="H1000" s="26">
        <v>10993.8261</v>
      </c>
      <c r="O1000"/>
    </row>
    <row r="1001" spans="2:15">
      <c r="B1001" s="25">
        <v>15526</v>
      </c>
      <c r="C1001" s="27" t="s">
        <v>256</v>
      </c>
      <c r="D1001" s="27" t="s">
        <v>230</v>
      </c>
      <c r="E1001" s="26">
        <v>150</v>
      </c>
      <c r="F1001" s="26">
        <v>6.3425000000000002</v>
      </c>
      <c r="G1001" s="26">
        <v>18.75</v>
      </c>
      <c r="H1001" s="26">
        <v>1385.8696</v>
      </c>
      <c r="O1001"/>
    </row>
    <row r="1002" spans="2:15">
      <c r="B1002" s="25">
        <v>15527</v>
      </c>
      <c r="C1002" s="27" t="s">
        <v>257</v>
      </c>
      <c r="D1002" s="27" t="s">
        <v>230</v>
      </c>
      <c r="E1002" s="26">
        <v>150</v>
      </c>
      <c r="F1002" s="26">
        <v>6.3425000000000002</v>
      </c>
      <c r="G1002" s="26">
        <v>18.75</v>
      </c>
      <c r="H1002" s="26">
        <v>1385.8696</v>
      </c>
      <c r="O1002"/>
    </row>
    <row r="1003" spans="2:15">
      <c r="B1003" s="25">
        <v>15528</v>
      </c>
      <c r="C1003" s="27" t="s">
        <v>258</v>
      </c>
      <c r="D1003" s="27" t="s">
        <v>230</v>
      </c>
      <c r="E1003" s="26">
        <v>348</v>
      </c>
      <c r="F1003" s="26">
        <v>14.714600000000001</v>
      </c>
      <c r="G1003" s="26">
        <v>43.5</v>
      </c>
      <c r="H1003" s="26">
        <v>3215.2174</v>
      </c>
      <c r="O1003"/>
    </row>
    <row r="1004" spans="2:15">
      <c r="B1004" s="25">
        <v>15529</v>
      </c>
      <c r="C1004" s="27" t="s">
        <v>259</v>
      </c>
      <c r="D1004" s="27" t="s">
        <v>230</v>
      </c>
      <c r="E1004" s="26">
        <v>149</v>
      </c>
      <c r="F1004" s="26">
        <v>6.3002000000000002</v>
      </c>
      <c r="G1004" s="26">
        <v>18.625</v>
      </c>
      <c r="H1004" s="26">
        <v>1376.6304</v>
      </c>
      <c r="O1004"/>
    </row>
    <row r="1005" spans="2:15">
      <c r="B1005" s="25">
        <v>15530</v>
      </c>
      <c r="C1005" s="27" t="s">
        <v>260</v>
      </c>
      <c r="D1005" s="27" t="s">
        <v>230</v>
      </c>
      <c r="E1005" s="26">
        <v>0.61109999999999998</v>
      </c>
      <c r="F1005" s="26">
        <v>2.58E-2</v>
      </c>
      <c r="G1005" s="26">
        <v>7.6399999999999996E-2</v>
      </c>
      <c r="H1005" s="26">
        <v>5.3139000000000003</v>
      </c>
      <c r="O1005"/>
    </row>
    <row r="1006" spans="2:15">
      <c r="B1006" s="25">
        <v>15531</v>
      </c>
      <c r="C1006" s="27" t="s">
        <v>261</v>
      </c>
      <c r="D1006" s="27" t="s">
        <v>230</v>
      </c>
      <c r="E1006" s="26">
        <v>299</v>
      </c>
      <c r="F1006" s="26">
        <v>12.6427</v>
      </c>
      <c r="G1006" s="26">
        <v>37.375</v>
      </c>
      <c r="H1006" s="26">
        <v>2762.5</v>
      </c>
      <c r="O1006"/>
    </row>
    <row r="1007" spans="2:15">
      <c r="B1007" s="25">
        <v>15532</v>
      </c>
      <c r="C1007" s="27" t="s">
        <v>262</v>
      </c>
      <c r="D1007" s="27" t="s">
        <v>230</v>
      </c>
      <c r="E1007" s="26">
        <v>299</v>
      </c>
      <c r="F1007" s="26">
        <v>12.6427</v>
      </c>
      <c r="G1007" s="26">
        <v>37.375</v>
      </c>
      <c r="H1007" s="26">
        <v>2762.5</v>
      </c>
      <c r="O1007"/>
    </row>
    <row r="1008" spans="2:15">
      <c r="B1008" s="25">
        <v>15533</v>
      </c>
      <c r="C1008" s="27" t="s">
        <v>263</v>
      </c>
      <c r="D1008" s="27" t="s">
        <v>230</v>
      </c>
      <c r="E1008" s="26">
        <v>199</v>
      </c>
      <c r="F1008" s="26">
        <v>8.4144000000000005</v>
      </c>
      <c r="G1008" s="26">
        <v>24.875</v>
      </c>
      <c r="H1008" s="26">
        <v>1838.587</v>
      </c>
      <c r="O1008"/>
    </row>
    <row r="1009" spans="2:15">
      <c r="B1009" s="25">
        <v>15534</v>
      </c>
      <c r="C1009" s="27" t="s">
        <v>264</v>
      </c>
      <c r="D1009" s="27" t="s">
        <v>230</v>
      </c>
      <c r="E1009" s="26">
        <v>199</v>
      </c>
      <c r="F1009" s="26">
        <v>8.4144000000000005</v>
      </c>
      <c r="G1009" s="26">
        <v>24.875</v>
      </c>
      <c r="H1009" s="26">
        <v>1838.587</v>
      </c>
      <c r="O1009"/>
    </row>
    <row r="1010" spans="2:15">
      <c r="B1010" s="25">
        <v>15535</v>
      </c>
      <c r="C1010" s="27" t="s">
        <v>265</v>
      </c>
      <c r="D1010" s="27" t="s">
        <v>230</v>
      </c>
      <c r="E1010" s="26">
        <v>199</v>
      </c>
      <c r="F1010" s="26">
        <v>8.4144000000000005</v>
      </c>
      <c r="G1010" s="26">
        <v>24.875</v>
      </c>
      <c r="H1010" s="26">
        <v>1838.587</v>
      </c>
      <c r="O1010"/>
    </row>
    <row r="1011" spans="2:15">
      <c r="B1011" s="25">
        <v>15536</v>
      </c>
      <c r="C1011" s="27" t="s">
        <v>266</v>
      </c>
      <c r="D1011" s="27" t="s">
        <v>230</v>
      </c>
      <c r="E1011" s="26">
        <v>199</v>
      </c>
      <c r="F1011" s="26">
        <v>8.4144000000000005</v>
      </c>
      <c r="G1011" s="26">
        <v>24.875</v>
      </c>
      <c r="H1011" s="26">
        <v>1838.587</v>
      </c>
      <c r="O1011"/>
    </row>
    <row r="1012" spans="2:15">
      <c r="B1012" s="25">
        <v>15537</v>
      </c>
      <c r="C1012" s="27" t="s">
        <v>267</v>
      </c>
      <c r="D1012" s="27" t="s">
        <v>230</v>
      </c>
      <c r="E1012" s="26">
        <v>199</v>
      </c>
      <c r="F1012" s="26">
        <v>8.4144000000000005</v>
      </c>
      <c r="G1012" s="26">
        <v>24.875</v>
      </c>
      <c r="H1012" s="26">
        <v>1838.587</v>
      </c>
      <c r="O1012"/>
    </row>
    <row r="1013" spans="2:15">
      <c r="B1013" s="25">
        <v>15538</v>
      </c>
      <c r="C1013" s="27" t="s">
        <v>268</v>
      </c>
      <c r="D1013" s="27" t="s">
        <v>230</v>
      </c>
      <c r="E1013" s="26">
        <v>10.8</v>
      </c>
      <c r="F1013" s="26">
        <v>0.45669999999999999</v>
      </c>
      <c r="G1013" s="26">
        <v>1.35</v>
      </c>
      <c r="H1013" s="26">
        <v>99.782600000000002</v>
      </c>
      <c r="O1013"/>
    </row>
    <row r="1014" spans="2:15">
      <c r="B1014" s="25">
        <v>15539</v>
      </c>
      <c r="C1014" s="27" t="s">
        <v>269</v>
      </c>
      <c r="D1014" s="27" t="s">
        <v>230</v>
      </c>
      <c r="E1014" s="26">
        <v>180</v>
      </c>
      <c r="F1014" s="26">
        <v>7.6109999999999998</v>
      </c>
      <c r="G1014" s="26">
        <v>22.5</v>
      </c>
      <c r="H1014" s="26">
        <v>1663.0435</v>
      </c>
      <c r="O1014"/>
    </row>
    <row r="1015" spans="2:15">
      <c r="B1015" s="25">
        <v>15540</v>
      </c>
      <c r="C1015" s="27" t="s">
        <v>270</v>
      </c>
      <c r="D1015" s="27" t="s">
        <v>230</v>
      </c>
      <c r="E1015" s="26">
        <v>180</v>
      </c>
      <c r="F1015" s="26">
        <v>7.6109999999999998</v>
      </c>
      <c r="G1015" s="26">
        <v>22.5</v>
      </c>
      <c r="H1015" s="26">
        <v>1663.0435</v>
      </c>
      <c r="O1015"/>
    </row>
    <row r="1016" spans="2:15">
      <c r="B1016" s="25">
        <v>15541</v>
      </c>
      <c r="C1016" s="27" t="s">
        <v>271</v>
      </c>
      <c r="D1016" s="27" t="s">
        <v>230</v>
      </c>
      <c r="E1016" s="26">
        <v>13.92</v>
      </c>
      <c r="F1016" s="26">
        <v>0.58860000000000001</v>
      </c>
      <c r="G1016" s="26">
        <v>1.8560000000000001</v>
      </c>
      <c r="H1016" s="26">
        <v>128.6087</v>
      </c>
      <c r="O1016"/>
    </row>
    <row r="1017" spans="2:15">
      <c r="B1017" s="25">
        <v>15542</v>
      </c>
      <c r="C1017" s="27" t="s">
        <v>272</v>
      </c>
      <c r="D1017" s="27" t="s">
        <v>230</v>
      </c>
      <c r="E1017" s="26">
        <v>4.4080000000000004</v>
      </c>
      <c r="F1017" s="26">
        <v>0.18640000000000001</v>
      </c>
      <c r="G1017" s="26">
        <v>0.5877</v>
      </c>
      <c r="H1017" s="26">
        <v>40.726100000000002</v>
      </c>
      <c r="O1017"/>
    </row>
    <row r="1018" spans="2:15">
      <c r="B1018" s="25">
        <v>15543</v>
      </c>
      <c r="C1018" s="27" t="s">
        <v>273</v>
      </c>
      <c r="D1018" s="27" t="s">
        <v>230</v>
      </c>
      <c r="E1018" s="26">
        <v>111.41200000000001</v>
      </c>
      <c r="F1018" s="26">
        <v>4.7108999999999996</v>
      </c>
      <c r="G1018" s="26">
        <v>14.854900000000001</v>
      </c>
      <c r="H1018" s="26">
        <v>1029.3499999999999</v>
      </c>
      <c r="O1018"/>
    </row>
    <row r="1019" spans="2:15">
      <c r="B1019" s="25">
        <v>15544</v>
      </c>
      <c r="C1019" s="27" t="s">
        <v>274</v>
      </c>
      <c r="D1019" s="27" t="s">
        <v>230</v>
      </c>
      <c r="E1019" s="26">
        <v>111.27200000000001</v>
      </c>
      <c r="F1019" s="26">
        <v>4.7050000000000001</v>
      </c>
      <c r="G1019" s="26">
        <v>14.8363</v>
      </c>
      <c r="H1019" s="26">
        <v>1028.0564999999999</v>
      </c>
      <c r="O1019"/>
    </row>
    <row r="1020" spans="2:15">
      <c r="B1020" s="25">
        <v>15545</v>
      </c>
      <c r="C1020" s="27" t="s">
        <v>275</v>
      </c>
      <c r="D1020" s="27" t="s">
        <v>230</v>
      </c>
      <c r="E1020" s="26">
        <v>1500</v>
      </c>
      <c r="F1020" s="26">
        <v>63.424999999999997</v>
      </c>
      <c r="G1020" s="26">
        <v>200</v>
      </c>
      <c r="H1020" s="26">
        <v>13858.6957</v>
      </c>
      <c r="O1020"/>
    </row>
    <row r="1021" spans="2:15">
      <c r="B1021" s="25">
        <v>15546</v>
      </c>
      <c r="C1021" s="27" t="s">
        <v>276</v>
      </c>
      <c r="D1021" s="27" t="s">
        <v>230</v>
      </c>
      <c r="E1021" s="26">
        <v>1599</v>
      </c>
      <c r="F1021" s="26">
        <v>67.611000000000004</v>
      </c>
      <c r="G1021" s="26">
        <v>213.2</v>
      </c>
      <c r="H1021" s="26">
        <v>14773.3696</v>
      </c>
      <c r="O1021"/>
    </row>
    <row r="1022" spans="2:15">
      <c r="B1022" s="25">
        <v>15547</v>
      </c>
      <c r="C1022" s="27" t="s">
        <v>277</v>
      </c>
      <c r="D1022" s="27" t="s">
        <v>230</v>
      </c>
      <c r="E1022" s="26">
        <v>1599</v>
      </c>
      <c r="F1022" s="26">
        <v>67.611000000000004</v>
      </c>
      <c r="G1022" s="26">
        <v>213.2</v>
      </c>
      <c r="H1022" s="26">
        <v>14773.3696</v>
      </c>
      <c r="O1022"/>
    </row>
    <row r="1023" spans="2:15">
      <c r="B1023" s="25">
        <v>15548</v>
      </c>
      <c r="C1023" s="27" t="s">
        <v>278</v>
      </c>
      <c r="D1023" s="27" t="s">
        <v>230</v>
      </c>
      <c r="E1023" s="26">
        <v>230.86</v>
      </c>
      <c r="F1023" s="26">
        <v>9.7614999999999998</v>
      </c>
      <c r="G1023" s="26">
        <v>30.781300000000002</v>
      </c>
      <c r="H1023" s="26">
        <v>2132.9457000000002</v>
      </c>
      <c r="O1023"/>
    </row>
    <row r="1024" spans="2:15">
      <c r="B1024" s="25">
        <v>15549</v>
      </c>
      <c r="C1024" s="27" t="s">
        <v>279</v>
      </c>
      <c r="D1024" s="27" t="s">
        <v>230</v>
      </c>
      <c r="E1024" s="26">
        <v>111.09</v>
      </c>
      <c r="F1024" s="26">
        <v>4.6973000000000003</v>
      </c>
      <c r="G1024" s="26">
        <v>14.811999999999999</v>
      </c>
      <c r="H1024" s="26">
        <v>1026.375</v>
      </c>
      <c r="O1024"/>
    </row>
    <row r="1025" spans="2:15">
      <c r="B1025" s="25">
        <v>15550</v>
      </c>
      <c r="C1025" s="27" t="s">
        <v>280</v>
      </c>
      <c r="D1025" s="27" t="s">
        <v>230</v>
      </c>
      <c r="E1025" s="26">
        <v>64.300319999999999</v>
      </c>
      <c r="F1025" s="26">
        <v>2.7187999999999999</v>
      </c>
      <c r="G1025" s="26">
        <v>8.5733999999999995</v>
      </c>
      <c r="H1025" s="26">
        <v>559.13319999999999</v>
      </c>
      <c r="O1025"/>
    </row>
    <row r="1026" spans="2:15">
      <c r="B1026" s="25">
        <v>15551</v>
      </c>
      <c r="C1026" s="27" t="s">
        <v>281</v>
      </c>
      <c r="D1026" s="27" t="s">
        <v>230</v>
      </c>
      <c r="E1026" s="26">
        <v>73.426640000000006</v>
      </c>
      <c r="F1026" s="26">
        <v>3.1046999999999998</v>
      </c>
      <c r="G1026" s="26">
        <v>9.7902000000000005</v>
      </c>
      <c r="H1026" s="26">
        <v>638.49249999999995</v>
      </c>
      <c r="O1026"/>
    </row>
    <row r="1027" spans="2:15">
      <c r="B1027" s="25">
        <v>15552</v>
      </c>
      <c r="C1027" s="27" t="s">
        <v>282</v>
      </c>
      <c r="D1027" s="27" t="s">
        <v>230</v>
      </c>
      <c r="E1027" s="26">
        <v>7</v>
      </c>
      <c r="F1027" s="26">
        <v>0.29599999999999999</v>
      </c>
      <c r="G1027" s="26">
        <v>0.93330000000000002</v>
      </c>
      <c r="H1027" s="26">
        <v>60.869599999999998</v>
      </c>
      <c r="O1027"/>
    </row>
    <row r="1028" spans="2:15">
      <c r="B1028" s="25">
        <v>15553</v>
      </c>
      <c r="C1028" s="27" t="s">
        <v>283</v>
      </c>
      <c r="D1028" s="27" t="s">
        <v>230</v>
      </c>
      <c r="E1028" s="26">
        <v>6.9160000000000004</v>
      </c>
      <c r="F1028" s="26">
        <v>0.29239999999999999</v>
      </c>
      <c r="G1028" s="26">
        <v>0.92210000000000003</v>
      </c>
      <c r="H1028" s="26">
        <v>63.897799999999997</v>
      </c>
      <c r="O1028"/>
    </row>
    <row r="1029" spans="2:15">
      <c r="B1029" s="25">
        <v>15554</v>
      </c>
      <c r="C1029" s="27" t="s">
        <v>284</v>
      </c>
      <c r="D1029" s="27" t="s">
        <v>230</v>
      </c>
      <c r="E1029" s="26">
        <v>103.5</v>
      </c>
      <c r="F1029" s="26">
        <v>4.3762999999999996</v>
      </c>
      <c r="G1029" s="26">
        <v>13.8</v>
      </c>
      <c r="H1029" s="26">
        <v>956.25</v>
      </c>
      <c r="O1029"/>
    </row>
    <row r="1030" spans="2:15">
      <c r="B1030" s="25">
        <v>15555</v>
      </c>
      <c r="C1030" s="27" t="s">
        <v>285</v>
      </c>
      <c r="D1030" s="27" t="s">
        <v>230</v>
      </c>
      <c r="E1030" s="26">
        <v>199</v>
      </c>
      <c r="F1030" s="26">
        <v>8.4144000000000005</v>
      </c>
      <c r="G1030" s="26">
        <v>24.875</v>
      </c>
      <c r="H1030" s="26">
        <v>1838.587</v>
      </c>
      <c r="O1030"/>
    </row>
    <row r="1031" spans="2:15">
      <c r="B1031" s="25">
        <v>15556</v>
      </c>
      <c r="C1031" s="27" t="s">
        <v>286</v>
      </c>
      <c r="D1031" s="27" t="s">
        <v>230</v>
      </c>
      <c r="E1031" s="26">
        <v>199</v>
      </c>
      <c r="F1031" s="26">
        <v>8.4144000000000005</v>
      </c>
      <c r="G1031" s="26">
        <v>24.875</v>
      </c>
      <c r="H1031" s="26">
        <v>1838.587</v>
      </c>
      <c r="O1031"/>
    </row>
    <row r="1032" spans="2:15">
      <c r="B1032" s="25">
        <v>15557</v>
      </c>
      <c r="C1032" s="27" t="s">
        <v>287</v>
      </c>
      <c r="D1032" s="27" t="s">
        <v>230</v>
      </c>
      <c r="E1032" s="26">
        <v>199</v>
      </c>
      <c r="F1032" s="26">
        <v>8.4144000000000005</v>
      </c>
      <c r="G1032" s="26">
        <v>24.875</v>
      </c>
      <c r="H1032" s="26">
        <v>1838.587</v>
      </c>
      <c r="O1032"/>
    </row>
    <row r="1033" spans="2:15">
      <c r="B1033" s="25">
        <v>15558</v>
      </c>
      <c r="C1033" s="27" t="s">
        <v>288</v>
      </c>
      <c r="D1033" s="27" t="s">
        <v>230</v>
      </c>
      <c r="E1033" s="26">
        <v>199</v>
      </c>
      <c r="F1033" s="26">
        <v>8.4144000000000005</v>
      </c>
      <c r="G1033" s="26">
        <v>24.875</v>
      </c>
      <c r="H1033" s="26">
        <v>1838.587</v>
      </c>
      <c r="O1033"/>
    </row>
    <row r="1034" spans="2:15">
      <c r="B1034" s="25">
        <v>15559</v>
      </c>
      <c r="C1034" s="27" t="s">
        <v>289</v>
      </c>
      <c r="D1034" s="27" t="s">
        <v>230</v>
      </c>
      <c r="E1034" s="26">
        <v>199</v>
      </c>
      <c r="F1034" s="26">
        <v>8.4144000000000005</v>
      </c>
      <c r="G1034" s="26">
        <v>24.875</v>
      </c>
      <c r="H1034" s="26">
        <v>1838.587</v>
      </c>
      <c r="O1034"/>
    </row>
    <row r="1035" spans="2:15">
      <c r="B1035" s="25">
        <v>15560</v>
      </c>
      <c r="C1035" s="27" t="s">
        <v>290</v>
      </c>
      <c r="D1035" s="27" t="s">
        <v>230</v>
      </c>
      <c r="E1035" s="26">
        <v>299</v>
      </c>
      <c r="F1035" s="26">
        <v>12.6427</v>
      </c>
      <c r="G1035" s="26">
        <v>37.375</v>
      </c>
      <c r="H1035" s="26">
        <v>2762.5</v>
      </c>
      <c r="O1035"/>
    </row>
    <row r="1036" spans="2:15">
      <c r="B1036" s="25">
        <v>15561</v>
      </c>
      <c r="C1036" s="27" t="s">
        <v>291</v>
      </c>
      <c r="D1036" s="27" t="s">
        <v>230</v>
      </c>
      <c r="E1036" s="26">
        <v>1599.33</v>
      </c>
      <c r="F1036" s="26">
        <v>67.625</v>
      </c>
      <c r="G1036" s="26">
        <v>213.244</v>
      </c>
      <c r="H1036" s="26">
        <v>14776.4185</v>
      </c>
      <c r="O1036"/>
    </row>
    <row r="1037" spans="2:15">
      <c r="B1037" s="25">
        <v>15562</v>
      </c>
      <c r="C1037" s="27" t="s">
        <v>292</v>
      </c>
      <c r="D1037" s="27" t="s">
        <v>230</v>
      </c>
      <c r="E1037" s="26">
        <v>82.08</v>
      </c>
      <c r="F1037" s="26">
        <v>3.4706000000000001</v>
      </c>
      <c r="G1037" s="26">
        <v>10.944000000000001</v>
      </c>
      <c r="H1037" s="26">
        <v>758.34780000000001</v>
      </c>
      <c r="O1037"/>
    </row>
    <row r="1038" spans="2:15">
      <c r="B1038" s="25">
        <v>15563</v>
      </c>
      <c r="C1038" s="27" t="s">
        <v>293</v>
      </c>
      <c r="D1038" s="27" t="s">
        <v>230</v>
      </c>
      <c r="E1038" s="26">
        <v>82.08</v>
      </c>
      <c r="F1038" s="26">
        <v>3.4706000000000001</v>
      </c>
      <c r="G1038" s="26">
        <v>10.944000000000001</v>
      </c>
      <c r="H1038" s="26">
        <v>758.34780000000001</v>
      </c>
      <c r="O1038"/>
    </row>
    <row r="1039" spans="2:15">
      <c r="B1039" s="25">
        <v>15564</v>
      </c>
      <c r="C1039" s="27" t="s">
        <v>294</v>
      </c>
      <c r="D1039" s="27" t="s">
        <v>230</v>
      </c>
      <c r="E1039" s="26">
        <v>28</v>
      </c>
      <c r="F1039" s="26">
        <v>1.1247</v>
      </c>
      <c r="G1039" s="26">
        <v>4.2</v>
      </c>
      <c r="H1039" s="26">
        <v>273.91300000000001</v>
      </c>
      <c r="O1039"/>
    </row>
    <row r="1040" spans="2:15">
      <c r="B1040" s="25">
        <v>15565</v>
      </c>
      <c r="C1040" s="27" t="s">
        <v>295</v>
      </c>
      <c r="D1040" s="27" t="s">
        <v>230</v>
      </c>
      <c r="E1040" s="26">
        <v>24</v>
      </c>
      <c r="F1040" s="26">
        <v>0.96409999999999996</v>
      </c>
      <c r="G1040" s="26">
        <v>3.6</v>
      </c>
      <c r="H1040" s="26">
        <v>234.7826</v>
      </c>
      <c r="O1040"/>
    </row>
    <row r="1041" spans="2:15">
      <c r="B1041" s="25">
        <v>15566</v>
      </c>
      <c r="C1041" s="27" t="s">
        <v>296</v>
      </c>
      <c r="D1041" s="27" t="s">
        <v>230</v>
      </c>
      <c r="E1041" s="26">
        <v>24</v>
      </c>
      <c r="F1041" s="26">
        <v>0.96409999999999996</v>
      </c>
      <c r="G1041" s="26">
        <v>3.6</v>
      </c>
      <c r="H1041" s="26">
        <v>234.7826</v>
      </c>
      <c r="O1041"/>
    </row>
    <row r="1042" spans="2:15">
      <c r="B1042" s="25">
        <v>15567</v>
      </c>
      <c r="C1042" s="27" t="s">
        <v>297</v>
      </c>
      <c r="D1042" s="27" t="s">
        <v>230</v>
      </c>
      <c r="E1042" s="26">
        <v>37</v>
      </c>
      <c r="F1042" s="26">
        <v>1.4863</v>
      </c>
      <c r="G1042" s="26">
        <v>5.55</v>
      </c>
      <c r="H1042" s="26">
        <v>361.95650000000001</v>
      </c>
      <c r="O1042"/>
    </row>
    <row r="1043" spans="2:15">
      <c r="B1043" s="25">
        <v>15568</v>
      </c>
      <c r="C1043" s="27" t="s">
        <v>298</v>
      </c>
      <c r="D1043" s="27" t="s">
        <v>230</v>
      </c>
      <c r="E1043" s="26">
        <v>168</v>
      </c>
      <c r="F1043" s="26">
        <v>6.7484000000000002</v>
      </c>
      <c r="G1043" s="26">
        <v>25.2</v>
      </c>
      <c r="H1043" s="26">
        <v>1643.4783</v>
      </c>
      <c r="O1043"/>
    </row>
    <row r="1044" spans="2:15">
      <c r="B1044" s="25">
        <v>15569</v>
      </c>
      <c r="C1044" s="27" t="s">
        <v>299</v>
      </c>
      <c r="D1044" s="27" t="s">
        <v>230</v>
      </c>
      <c r="E1044" s="26">
        <v>78</v>
      </c>
      <c r="F1044" s="26">
        <v>3.1332</v>
      </c>
      <c r="G1044" s="26">
        <v>11.7</v>
      </c>
      <c r="H1044" s="26">
        <v>763.04349999999999</v>
      </c>
      <c r="O1044"/>
    </row>
    <row r="1045" spans="2:15">
      <c r="B1045" s="25">
        <v>15570</v>
      </c>
      <c r="C1045" s="27" t="s">
        <v>300</v>
      </c>
      <c r="D1045" s="27" t="s">
        <v>230</v>
      </c>
      <c r="E1045" s="26">
        <v>58</v>
      </c>
      <c r="F1045" s="26">
        <v>2.3298000000000001</v>
      </c>
      <c r="G1045" s="26">
        <v>8.6999999999999993</v>
      </c>
      <c r="H1045" s="26">
        <v>567.3913</v>
      </c>
      <c r="O1045"/>
    </row>
    <row r="1046" spans="2:15">
      <c r="B1046" s="25">
        <v>15571</v>
      </c>
      <c r="C1046" s="27" t="s">
        <v>301</v>
      </c>
      <c r="D1046" s="27" t="s">
        <v>230</v>
      </c>
      <c r="E1046" s="26">
        <v>95</v>
      </c>
      <c r="F1046" s="26">
        <v>3.8161</v>
      </c>
      <c r="G1046" s="26">
        <v>14.25</v>
      </c>
      <c r="H1046" s="26">
        <v>929.34780000000001</v>
      </c>
      <c r="O1046"/>
    </row>
    <row r="1047" spans="2:15">
      <c r="B1047" s="25">
        <v>15572</v>
      </c>
      <c r="C1047" s="27" t="s">
        <v>302</v>
      </c>
      <c r="D1047" s="27" t="s">
        <v>230</v>
      </c>
      <c r="E1047" s="26">
        <v>138</v>
      </c>
      <c r="F1047" s="26">
        <v>5.5433000000000003</v>
      </c>
      <c r="G1047" s="26">
        <v>20.7</v>
      </c>
      <c r="H1047" s="26">
        <v>1350</v>
      </c>
      <c r="O1047"/>
    </row>
    <row r="1048" spans="2:15">
      <c r="B1048" s="25">
        <v>15573</v>
      </c>
      <c r="C1048" s="27" t="s">
        <v>303</v>
      </c>
      <c r="D1048" s="27" t="s">
        <v>230</v>
      </c>
      <c r="E1048" s="26">
        <v>113</v>
      </c>
      <c r="F1048" s="26">
        <v>4.5391000000000004</v>
      </c>
      <c r="G1048" s="26">
        <v>16.95</v>
      </c>
      <c r="H1048" s="26">
        <v>1105.4348</v>
      </c>
      <c r="O1048"/>
    </row>
    <row r="1049" spans="2:15">
      <c r="B1049" s="25">
        <v>15574</v>
      </c>
      <c r="C1049" s="27" t="s">
        <v>304</v>
      </c>
      <c r="D1049" s="27" t="s">
        <v>230</v>
      </c>
      <c r="E1049" s="26">
        <v>104</v>
      </c>
      <c r="F1049" s="26">
        <v>4.1776</v>
      </c>
      <c r="G1049" s="26">
        <v>15.6</v>
      </c>
      <c r="H1049" s="26">
        <v>1017.3913</v>
      </c>
      <c r="O1049"/>
    </row>
    <row r="1050" spans="2:15">
      <c r="B1050" s="25">
        <v>15575</v>
      </c>
      <c r="C1050" s="27" t="s">
        <v>305</v>
      </c>
      <c r="D1050" s="27" t="s">
        <v>230</v>
      </c>
      <c r="E1050" s="26">
        <v>87</v>
      </c>
      <c r="F1050" s="26">
        <v>3.4946999999999999</v>
      </c>
      <c r="G1050" s="26">
        <v>13.05</v>
      </c>
      <c r="H1050" s="26">
        <v>851.08699999999999</v>
      </c>
      <c r="O1050"/>
    </row>
    <row r="1051" spans="2:15">
      <c r="B1051" s="25">
        <v>15576</v>
      </c>
      <c r="C1051" s="27" t="s">
        <v>306</v>
      </c>
      <c r="D1051" s="27" t="s">
        <v>230</v>
      </c>
      <c r="E1051" s="26">
        <v>87</v>
      </c>
      <c r="F1051" s="26">
        <v>3.4946999999999999</v>
      </c>
      <c r="G1051" s="26">
        <v>13.05</v>
      </c>
      <c r="H1051" s="26">
        <v>851.08699999999999</v>
      </c>
      <c r="O1051"/>
    </row>
    <row r="1052" spans="2:15">
      <c r="B1052" s="25">
        <v>15577</v>
      </c>
      <c r="C1052" s="27" t="s">
        <v>307</v>
      </c>
      <c r="D1052" s="27" t="s">
        <v>308</v>
      </c>
      <c r="E1052" s="26">
        <v>386</v>
      </c>
      <c r="F1052" s="26">
        <v>15.5053</v>
      </c>
      <c r="G1052" s="26">
        <v>57.9</v>
      </c>
      <c r="H1052" s="26">
        <v>3776.087</v>
      </c>
      <c r="O1052"/>
    </row>
    <row r="1053" spans="2:15">
      <c r="B1053" s="25">
        <v>15578</v>
      </c>
      <c r="C1053" s="27" t="s">
        <v>309</v>
      </c>
      <c r="D1053" s="27" t="s">
        <v>230</v>
      </c>
      <c r="E1053" s="26">
        <v>4.1173999999999999</v>
      </c>
      <c r="F1053" s="26">
        <v>0.16539999999999999</v>
      </c>
      <c r="G1053" s="26">
        <v>0.61760000000000004</v>
      </c>
      <c r="H1053" s="26">
        <v>40.2789</v>
      </c>
      <c r="O1053"/>
    </row>
    <row r="1054" spans="2:15">
      <c r="B1054" s="25">
        <v>15579</v>
      </c>
      <c r="C1054" s="27" t="s">
        <v>310</v>
      </c>
      <c r="D1054" s="27" t="s">
        <v>230</v>
      </c>
      <c r="E1054" s="26">
        <v>47.6</v>
      </c>
      <c r="F1054" s="26">
        <v>1.9120999999999999</v>
      </c>
      <c r="G1054" s="26">
        <v>7.14</v>
      </c>
      <c r="H1054" s="26">
        <v>465.65219999999999</v>
      </c>
      <c r="O1054"/>
    </row>
    <row r="1055" spans="2:15">
      <c r="B1055" s="25">
        <v>15580</v>
      </c>
      <c r="C1055" s="27" t="s">
        <v>311</v>
      </c>
      <c r="D1055" s="27" t="s">
        <v>230</v>
      </c>
      <c r="E1055" s="26">
        <v>50</v>
      </c>
      <c r="F1055" s="26">
        <v>2.1141999999999999</v>
      </c>
      <c r="G1055" s="26">
        <v>6.25</v>
      </c>
      <c r="H1055" s="26">
        <v>461.95650000000001</v>
      </c>
      <c r="O1055"/>
    </row>
    <row r="1056" spans="2:15">
      <c r="B1056" s="25">
        <v>15581</v>
      </c>
      <c r="C1056" s="27" t="s">
        <v>312</v>
      </c>
      <c r="D1056" s="27" t="s">
        <v>230</v>
      </c>
      <c r="E1056" s="26">
        <v>50</v>
      </c>
      <c r="F1056" s="26">
        <v>2.1141999999999999</v>
      </c>
      <c r="G1056" s="26">
        <v>6.25</v>
      </c>
      <c r="H1056" s="26">
        <v>461.95650000000001</v>
      </c>
      <c r="O1056"/>
    </row>
    <row r="1057" spans="2:15">
      <c r="B1057" s="25">
        <v>15582</v>
      </c>
      <c r="C1057" s="27" t="s">
        <v>313</v>
      </c>
      <c r="D1057" s="27" t="s">
        <v>230</v>
      </c>
      <c r="E1057" s="26">
        <v>50</v>
      </c>
      <c r="F1057" s="26">
        <v>2.1141999999999999</v>
      </c>
      <c r="G1057" s="26">
        <v>6.25</v>
      </c>
      <c r="H1057" s="26">
        <v>461.95650000000001</v>
      </c>
      <c r="O1057"/>
    </row>
    <row r="1058" spans="2:15">
      <c r="B1058" s="25">
        <v>15583</v>
      </c>
      <c r="C1058" s="27" t="s">
        <v>314</v>
      </c>
      <c r="D1058" s="27" t="s">
        <v>230</v>
      </c>
      <c r="E1058" s="26">
        <v>50</v>
      </c>
      <c r="F1058" s="26">
        <v>2.1141999999999999</v>
      </c>
      <c r="G1058" s="26">
        <v>6.25</v>
      </c>
      <c r="H1058" s="26">
        <v>461.95650000000001</v>
      </c>
      <c r="O1058"/>
    </row>
    <row r="1059" spans="2:15">
      <c r="B1059" s="25">
        <v>15584</v>
      </c>
      <c r="C1059" s="27" t="s">
        <v>315</v>
      </c>
      <c r="D1059" s="27" t="s">
        <v>230</v>
      </c>
      <c r="E1059" s="26">
        <v>50</v>
      </c>
      <c r="F1059" s="26">
        <v>2.1141999999999999</v>
      </c>
      <c r="G1059" s="26">
        <v>6.25</v>
      </c>
      <c r="H1059" s="26">
        <v>461.95650000000001</v>
      </c>
      <c r="O1059"/>
    </row>
    <row r="1060" spans="2:15">
      <c r="B1060" s="25">
        <v>15585</v>
      </c>
      <c r="C1060" s="27" t="s">
        <v>316</v>
      </c>
      <c r="D1060" s="27" t="s">
        <v>317</v>
      </c>
      <c r="E1060" s="26">
        <v>3.1249699999999998</v>
      </c>
      <c r="F1060" s="26">
        <v>0.1321</v>
      </c>
      <c r="G1060" s="26">
        <v>0.3906</v>
      </c>
      <c r="H1060" s="26">
        <v>28.872</v>
      </c>
      <c r="O1060"/>
    </row>
    <row r="1061" spans="2:15">
      <c r="B1061" s="25">
        <v>15586</v>
      </c>
      <c r="C1061" s="27" t="s">
        <v>318</v>
      </c>
      <c r="D1061" s="27" t="s">
        <v>230</v>
      </c>
      <c r="E1061" s="26">
        <v>3.4</v>
      </c>
      <c r="F1061" s="26">
        <v>0.14380000000000001</v>
      </c>
      <c r="G1061" s="26">
        <v>0.42499999999999999</v>
      </c>
      <c r="H1061" s="26">
        <v>31.413</v>
      </c>
      <c r="O1061"/>
    </row>
    <row r="1062" spans="2:15">
      <c r="B1062" s="25">
        <v>15588</v>
      </c>
      <c r="C1062" s="27" t="s">
        <v>319</v>
      </c>
      <c r="D1062" s="27" t="s">
        <v>230</v>
      </c>
      <c r="E1062" s="26">
        <v>259.11144000000002</v>
      </c>
      <c r="F1062" s="26">
        <v>10.956099999999999</v>
      </c>
      <c r="G1062" s="26">
        <v>32.3889</v>
      </c>
      <c r="H1062" s="26">
        <v>2393.9643999999998</v>
      </c>
      <c r="O1062"/>
    </row>
    <row r="1063" spans="2:15">
      <c r="B1063" s="25">
        <v>15589</v>
      </c>
      <c r="C1063" s="27" t="s">
        <v>320</v>
      </c>
      <c r="D1063" s="27" t="s">
        <v>230</v>
      </c>
      <c r="E1063" s="26">
        <v>314.29257999999999</v>
      </c>
      <c r="F1063" s="26">
        <v>13.289300000000001</v>
      </c>
      <c r="G1063" s="26">
        <v>39.2866</v>
      </c>
      <c r="H1063" s="26">
        <v>2903.7901000000002</v>
      </c>
      <c r="O1063"/>
    </row>
    <row r="1064" spans="2:15">
      <c r="B1064" s="25">
        <v>15590</v>
      </c>
      <c r="C1064" s="27" t="s">
        <v>321</v>
      </c>
      <c r="D1064" s="27" t="s">
        <v>230</v>
      </c>
      <c r="E1064" s="26">
        <v>299.89999999999998</v>
      </c>
      <c r="F1064" s="26">
        <v>12.6808</v>
      </c>
      <c r="G1064" s="26">
        <v>37.487499999999997</v>
      </c>
      <c r="H1064" s="26">
        <v>2770.8152</v>
      </c>
      <c r="O1064"/>
    </row>
    <row r="1065" spans="2:15">
      <c r="B1065" s="25">
        <v>15591</v>
      </c>
      <c r="C1065" s="27" t="s">
        <v>322</v>
      </c>
      <c r="D1065" s="27" t="s">
        <v>230</v>
      </c>
      <c r="E1065" s="26">
        <v>299.89999999999998</v>
      </c>
      <c r="F1065" s="26">
        <v>12.6808</v>
      </c>
      <c r="G1065" s="26">
        <v>37.487499999999997</v>
      </c>
      <c r="H1065" s="26">
        <v>2770.8152</v>
      </c>
      <c r="O1065"/>
    </row>
    <row r="1066" spans="2:15">
      <c r="B1066" s="25">
        <v>15592</v>
      </c>
      <c r="C1066" s="27" t="s">
        <v>323</v>
      </c>
      <c r="D1066" s="27" t="s">
        <v>230</v>
      </c>
      <c r="E1066" s="26">
        <v>299.89999999999998</v>
      </c>
      <c r="F1066" s="26">
        <v>12.6808</v>
      </c>
      <c r="G1066" s="26">
        <v>37.487499999999997</v>
      </c>
      <c r="H1066" s="26">
        <v>2770.8152</v>
      </c>
      <c r="O1066"/>
    </row>
    <row r="1067" spans="2:15">
      <c r="B1067" s="25">
        <v>15593</v>
      </c>
      <c r="C1067" s="27" t="s">
        <v>324</v>
      </c>
      <c r="D1067" s="27" t="s">
        <v>230</v>
      </c>
      <c r="E1067" s="26">
        <v>299.89999999999998</v>
      </c>
      <c r="F1067" s="26">
        <v>12.6808</v>
      </c>
      <c r="G1067" s="26">
        <v>37.487499999999997</v>
      </c>
      <c r="H1067" s="26">
        <v>2770.8152</v>
      </c>
      <c r="O1067"/>
    </row>
    <row r="1068" spans="2:15">
      <c r="B1068" s="25">
        <v>15594</v>
      </c>
      <c r="C1068" s="27" t="s">
        <v>325</v>
      </c>
      <c r="D1068" s="27" t="s">
        <v>230</v>
      </c>
      <c r="E1068" s="26">
        <v>299.89999999999998</v>
      </c>
      <c r="F1068" s="26">
        <v>12.6808</v>
      </c>
      <c r="G1068" s="26">
        <v>37.487499999999997</v>
      </c>
      <c r="H1068" s="26">
        <v>2770.8152</v>
      </c>
      <c r="O1068"/>
    </row>
    <row r="1069" spans="2:15">
      <c r="B1069" s="25">
        <v>15595</v>
      </c>
      <c r="C1069" s="27" t="s">
        <v>326</v>
      </c>
      <c r="D1069" s="27" t="s">
        <v>230</v>
      </c>
      <c r="E1069" s="26">
        <v>13.4</v>
      </c>
      <c r="F1069" s="26">
        <v>0.56659999999999999</v>
      </c>
      <c r="G1069" s="26">
        <v>1.675</v>
      </c>
      <c r="H1069" s="26">
        <v>123.8044</v>
      </c>
      <c r="O1069"/>
    </row>
    <row r="1070" spans="2:15">
      <c r="B1070" s="25">
        <v>15596</v>
      </c>
      <c r="C1070" s="27" t="s">
        <v>327</v>
      </c>
      <c r="D1070" s="27" t="s">
        <v>230</v>
      </c>
      <c r="E1070" s="26">
        <v>11.9</v>
      </c>
      <c r="F1070" s="26">
        <v>0.50319999999999998</v>
      </c>
      <c r="G1070" s="26">
        <v>1.4875</v>
      </c>
      <c r="H1070" s="26">
        <v>109.9457</v>
      </c>
      <c r="O1070"/>
    </row>
    <row r="1071" spans="2:15">
      <c r="B1071" s="25">
        <v>15597</v>
      </c>
      <c r="C1071" s="27" t="s">
        <v>328</v>
      </c>
      <c r="D1071" s="27" t="s">
        <v>230</v>
      </c>
      <c r="E1071" s="26">
        <v>11.423999999999999</v>
      </c>
      <c r="F1071" s="26">
        <v>0.48299999999999998</v>
      </c>
      <c r="G1071" s="26">
        <v>1.4279999999999999</v>
      </c>
      <c r="H1071" s="26">
        <v>105.5478</v>
      </c>
      <c r="O1071"/>
    </row>
    <row r="1072" spans="2:15">
      <c r="B1072" s="25">
        <v>15598</v>
      </c>
      <c r="C1072" s="27" t="s">
        <v>329</v>
      </c>
      <c r="D1072" s="27" t="s">
        <v>230</v>
      </c>
      <c r="E1072" s="26">
        <v>0.52359999999999995</v>
      </c>
      <c r="F1072" s="26">
        <v>2.2100000000000002E-2</v>
      </c>
      <c r="G1072" s="26">
        <v>6.5500000000000003E-2</v>
      </c>
      <c r="H1072" s="26">
        <v>4.8376000000000001</v>
      </c>
      <c r="O1072"/>
    </row>
    <row r="1073" spans="2:15">
      <c r="B1073" s="25">
        <v>15599</v>
      </c>
      <c r="C1073" s="27" t="s">
        <v>330</v>
      </c>
      <c r="D1073" s="27" t="s">
        <v>230</v>
      </c>
      <c r="E1073" s="26">
        <v>0.80920000000000003</v>
      </c>
      <c r="F1073" s="26">
        <v>3.4200000000000001E-2</v>
      </c>
      <c r="G1073" s="26">
        <v>0.1012</v>
      </c>
      <c r="H1073" s="26">
        <v>7.4763000000000002</v>
      </c>
      <c r="O1073"/>
    </row>
  </sheetData>
  <mergeCells count="340">
    <mergeCell ref="C4:D4"/>
    <mergeCell ref="E4:F4"/>
    <mergeCell ref="G4:H4"/>
    <mergeCell ref="I4:J4"/>
    <mergeCell ref="K4:L4"/>
    <mergeCell ref="C51:D51"/>
    <mergeCell ref="E51:F51"/>
    <mergeCell ref="G51:H51"/>
    <mergeCell ref="I51:J51"/>
    <mergeCell ref="K51:L51"/>
    <mergeCell ref="C52:D52"/>
    <mergeCell ref="E52:F52"/>
    <mergeCell ref="G52:H52"/>
    <mergeCell ref="I52:J52"/>
    <mergeCell ref="K52:L52"/>
    <mergeCell ref="C53:D53"/>
    <mergeCell ref="E53:F53"/>
    <mergeCell ref="G53:H53"/>
    <mergeCell ref="I53:J53"/>
    <mergeCell ref="K53:L53"/>
    <mergeCell ref="C54:D54"/>
    <mergeCell ref="E54:F54"/>
    <mergeCell ref="G54:H54"/>
    <mergeCell ref="I54:J54"/>
    <mergeCell ref="K54:L54"/>
    <mergeCell ref="C55:D55"/>
    <mergeCell ref="E55:F55"/>
    <mergeCell ref="G55:H55"/>
    <mergeCell ref="I55:J55"/>
    <mergeCell ref="K55:L55"/>
    <mergeCell ref="C56:D56"/>
    <mergeCell ref="E56:F56"/>
    <mergeCell ref="G56:H56"/>
    <mergeCell ref="I56:J56"/>
    <mergeCell ref="K56:L56"/>
    <mergeCell ref="C57:D57"/>
    <mergeCell ref="E57:F57"/>
    <mergeCell ref="G57:H57"/>
    <mergeCell ref="I57:J57"/>
    <mergeCell ref="K57:L57"/>
    <mergeCell ref="C58:D58"/>
    <mergeCell ref="E58:F58"/>
    <mergeCell ref="G58:H58"/>
    <mergeCell ref="I58:J58"/>
    <mergeCell ref="K58:L58"/>
    <mergeCell ref="C59:D59"/>
    <mergeCell ref="E59:F59"/>
    <mergeCell ref="G59:H59"/>
    <mergeCell ref="I59:J59"/>
    <mergeCell ref="K59:L59"/>
    <mergeCell ref="C60:D60"/>
    <mergeCell ref="E60:F60"/>
    <mergeCell ref="G60:H60"/>
    <mergeCell ref="I60:J60"/>
    <mergeCell ref="K60:L60"/>
    <mergeCell ref="C61:D61"/>
    <mergeCell ref="E61:F61"/>
    <mergeCell ref="G61:H61"/>
    <mergeCell ref="I61:J61"/>
    <mergeCell ref="K61:L61"/>
    <mergeCell ref="C62:D62"/>
    <mergeCell ref="E62:F62"/>
    <mergeCell ref="G62:H62"/>
    <mergeCell ref="I62:J62"/>
    <mergeCell ref="K62:L62"/>
    <mergeCell ref="C63:D63"/>
    <mergeCell ref="E63:F63"/>
    <mergeCell ref="G63:H63"/>
    <mergeCell ref="I63:J63"/>
    <mergeCell ref="K63:L63"/>
    <mergeCell ref="C64:D64"/>
    <mergeCell ref="E64:F64"/>
    <mergeCell ref="G64:H64"/>
    <mergeCell ref="I64:J64"/>
    <mergeCell ref="K64:L64"/>
    <mergeCell ref="C65:D65"/>
    <mergeCell ref="E65:F65"/>
    <mergeCell ref="G65:H65"/>
    <mergeCell ref="I65:J65"/>
    <mergeCell ref="K65:L65"/>
    <mergeCell ref="C66:D66"/>
    <mergeCell ref="E66:F66"/>
    <mergeCell ref="G66:H66"/>
    <mergeCell ref="I66:J66"/>
    <mergeCell ref="K66:L66"/>
    <mergeCell ref="C67:D67"/>
    <mergeCell ref="E67:F67"/>
    <mergeCell ref="G67:H67"/>
    <mergeCell ref="I67:J67"/>
    <mergeCell ref="K67:L67"/>
    <mergeCell ref="C68:D68"/>
    <mergeCell ref="E68:F68"/>
    <mergeCell ref="G68:H68"/>
    <mergeCell ref="I68:J68"/>
    <mergeCell ref="K68:L68"/>
    <mergeCell ref="C69:D69"/>
    <mergeCell ref="E69:F69"/>
    <mergeCell ref="G69:H69"/>
    <mergeCell ref="I69:J69"/>
    <mergeCell ref="K69:L69"/>
    <mergeCell ref="C70:D70"/>
    <mergeCell ref="E70:F70"/>
    <mergeCell ref="G70:H70"/>
    <mergeCell ref="I70:J70"/>
    <mergeCell ref="K70:L70"/>
    <mergeCell ref="C71:D71"/>
    <mergeCell ref="E71:F71"/>
    <mergeCell ref="G71:H71"/>
    <mergeCell ref="I71:J71"/>
    <mergeCell ref="K71:L71"/>
    <mergeCell ref="C72:D72"/>
    <mergeCell ref="E72:F72"/>
    <mergeCell ref="G72:H72"/>
    <mergeCell ref="I72:J72"/>
    <mergeCell ref="K72:L72"/>
    <mergeCell ref="C73:D73"/>
    <mergeCell ref="E73:F73"/>
    <mergeCell ref="G73:H73"/>
    <mergeCell ref="I73:J73"/>
    <mergeCell ref="K73:L73"/>
    <mergeCell ref="C74:D74"/>
    <mergeCell ref="E74:F74"/>
    <mergeCell ref="G74:H74"/>
    <mergeCell ref="I74:J74"/>
    <mergeCell ref="K74:L74"/>
    <mergeCell ref="C75:D75"/>
    <mergeCell ref="E75:F75"/>
    <mergeCell ref="G75:H75"/>
    <mergeCell ref="I75:J75"/>
    <mergeCell ref="K75:L75"/>
    <mergeCell ref="C76:D76"/>
    <mergeCell ref="E76:F76"/>
    <mergeCell ref="G76:H76"/>
    <mergeCell ref="I76:J76"/>
    <mergeCell ref="K76:L76"/>
    <mergeCell ref="C77:D77"/>
    <mergeCell ref="E77:F77"/>
    <mergeCell ref="G77:H77"/>
    <mergeCell ref="I77:J77"/>
    <mergeCell ref="K77:L77"/>
    <mergeCell ref="C78:D78"/>
    <mergeCell ref="E78:F78"/>
    <mergeCell ref="G78:H78"/>
    <mergeCell ref="I78:J78"/>
    <mergeCell ref="K78:L78"/>
    <mergeCell ref="C79:D79"/>
    <mergeCell ref="E79:F79"/>
    <mergeCell ref="G79:H79"/>
    <mergeCell ref="I79:J79"/>
    <mergeCell ref="K79:L79"/>
    <mergeCell ref="C80:D80"/>
    <mergeCell ref="E80:F80"/>
    <mergeCell ref="G80:H80"/>
    <mergeCell ref="I80:J80"/>
    <mergeCell ref="K80:L80"/>
    <mergeCell ref="C81:D81"/>
    <mergeCell ref="E81:F81"/>
    <mergeCell ref="G81:H81"/>
    <mergeCell ref="I81:J81"/>
    <mergeCell ref="K81:L81"/>
    <mergeCell ref="C82:D82"/>
    <mergeCell ref="E82:F82"/>
    <mergeCell ref="G82:H82"/>
    <mergeCell ref="I82:J82"/>
    <mergeCell ref="K82:L82"/>
    <mergeCell ref="C83:D83"/>
    <mergeCell ref="E83:F83"/>
    <mergeCell ref="G83:H83"/>
    <mergeCell ref="I83:J83"/>
    <mergeCell ref="K83:L83"/>
    <mergeCell ref="C84:D84"/>
    <mergeCell ref="E84:F84"/>
    <mergeCell ref="G84:H84"/>
    <mergeCell ref="I84:J84"/>
    <mergeCell ref="K84:L84"/>
    <mergeCell ref="C85:D85"/>
    <mergeCell ref="E85:F85"/>
    <mergeCell ref="G85:H85"/>
    <mergeCell ref="I85:J85"/>
    <mergeCell ref="K85:L85"/>
    <mergeCell ref="C86:D86"/>
    <mergeCell ref="E86:F86"/>
    <mergeCell ref="G86:H86"/>
    <mergeCell ref="I86:J86"/>
    <mergeCell ref="K86:L86"/>
    <mergeCell ref="C87:D87"/>
    <mergeCell ref="E87:F87"/>
    <mergeCell ref="G87:H87"/>
    <mergeCell ref="I87:J87"/>
    <mergeCell ref="K87:L87"/>
    <mergeCell ref="C88:D88"/>
    <mergeCell ref="E88:F88"/>
    <mergeCell ref="G88:H88"/>
    <mergeCell ref="I88:J88"/>
    <mergeCell ref="K88:L88"/>
    <mergeCell ref="C89:D89"/>
    <mergeCell ref="E89:F89"/>
    <mergeCell ref="G89:H89"/>
    <mergeCell ref="I89:J89"/>
    <mergeCell ref="K89:L89"/>
    <mergeCell ref="C90:D90"/>
    <mergeCell ref="E90:F90"/>
    <mergeCell ref="G90:H90"/>
    <mergeCell ref="I90:J90"/>
    <mergeCell ref="K90:L90"/>
    <mergeCell ref="C91:D91"/>
    <mergeCell ref="E91:F91"/>
    <mergeCell ref="G91:H91"/>
    <mergeCell ref="I91:J91"/>
    <mergeCell ref="K91:L91"/>
    <mergeCell ref="C92:D92"/>
    <mergeCell ref="E92:F92"/>
    <mergeCell ref="G92:H92"/>
    <mergeCell ref="I92:J92"/>
    <mergeCell ref="K92:L92"/>
    <mergeCell ref="C93:D93"/>
    <mergeCell ref="E93:F93"/>
    <mergeCell ref="G93:H93"/>
    <mergeCell ref="I93:J93"/>
    <mergeCell ref="K93:L93"/>
    <mergeCell ref="C94:D94"/>
    <mergeCell ref="E94:F94"/>
    <mergeCell ref="G94:H94"/>
    <mergeCell ref="I94:J94"/>
    <mergeCell ref="K94:L94"/>
    <mergeCell ref="C95:D95"/>
    <mergeCell ref="E95:F95"/>
    <mergeCell ref="G95:H95"/>
    <mergeCell ref="I95:J95"/>
    <mergeCell ref="K95:L95"/>
    <mergeCell ref="C96:D96"/>
    <mergeCell ref="E96:F96"/>
    <mergeCell ref="G96:H96"/>
    <mergeCell ref="I96:J96"/>
    <mergeCell ref="K96:L96"/>
    <mergeCell ref="C97:D97"/>
    <mergeCell ref="E97:F97"/>
    <mergeCell ref="G97:H97"/>
    <mergeCell ref="I97:J97"/>
    <mergeCell ref="K97:L97"/>
    <mergeCell ref="C98:D98"/>
    <mergeCell ref="E98:F98"/>
    <mergeCell ref="G98:H98"/>
    <mergeCell ref="I98:J98"/>
    <mergeCell ref="K98:L98"/>
    <mergeCell ref="C99:D99"/>
    <mergeCell ref="E99:F99"/>
    <mergeCell ref="G99:H99"/>
    <mergeCell ref="I99:J99"/>
    <mergeCell ref="K99:L99"/>
    <mergeCell ref="C100:D100"/>
    <mergeCell ref="E100:F100"/>
    <mergeCell ref="G100:H100"/>
    <mergeCell ref="I100:J100"/>
    <mergeCell ref="K100:L100"/>
    <mergeCell ref="C101:D101"/>
    <mergeCell ref="E101:F101"/>
    <mergeCell ref="G101:H101"/>
    <mergeCell ref="I101:J101"/>
    <mergeCell ref="K101:L101"/>
    <mergeCell ref="C102:D102"/>
    <mergeCell ref="E102:F102"/>
    <mergeCell ref="G102:H102"/>
    <mergeCell ref="I102:J102"/>
    <mergeCell ref="K102:L102"/>
    <mergeCell ref="C103:D103"/>
    <mergeCell ref="E103:F103"/>
    <mergeCell ref="G103:H103"/>
    <mergeCell ref="I103:J103"/>
    <mergeCell ref="K103:L103"/>
    <mergeCell ref="C104:D104"/>
    <mergeCell ref="E104:F104"/>
    <mergeCell ref="G104:H104"/>
    <mergeCell ref="I104:J104"/>
    <mergeCell ref="K104:L104"/>
    <mergeCell ref="C105:D105"/>
    <mergeCell ref="E105:F105"/>
    <mergeCell ref="G105:H105"/>
    <mergeCell ref="I105:J105"/>
    <mergeCell ref="K105:L105"/>
    <mergeCell ref="C106:D106"/>
    <mergeCell ref="E106:F106"/>
    <mergeCell ref="G106:H106"/>
    <mergeCell ref="I106:J106"/>
    <mergeCell ref="K106:L106"/>
    <mergeCell ref="C107:D107"/>
    <mergeCell ref="E107:F107"/>
    <mergeCell ref="G107:H107"/>
    <mergeCell ref="I107:J107"/>
    <mergeCell ref="K107:L107"/>
    <mergeCell ref="C108:D108"/>
    <mergeCell ref="E108:F108"/>
    <mergeCell ref="G108:H108"/>
    <mergeCell ref="I108:J108"/>
    <mergeCell ref="K108:L108"/>
    <mergeCell ref="C109:D109"/>
    <mergeCell ref="E109:F109"/>
    <mergeCell ref="G109:H109"/>
    <mergeCell ref="I109:J109"/>
    <mergeCell ref="K109:L109"/>
    <mergeCell ref="C110:D110"/>
    <mergeCell ref="E110:F110"/>
    <mergeCell ref="G110:H110"/>
    <mergeCell ref="I110:J110"/>
    <mergeCell ref="K110:L110"/>
    <mergeCell ref="C111:D111"/>
    <mergeCell ref="E111:F111"/>
    <mergeCell ref="G111:H111"/>
    <mergeCell ref="I111:J111"/>
    <mergeCell ref="K111:L111"/>
    <mergeCell ref="C112:D112"/>
    <mergeCell ref="E112:F112"/>
    <mergeCell ref="G112:H112"/>
    <mergeCell ref="I112:J112"/>
    <mergeCell ref="K112:L112"/>
    <mergeCell ref="C118:D118"/>
    <mergeCell ref="E118:F118"/>
    <mergeCell ref="G118:H118"/>
    <mergeCell ref="I118:J118"/>
    <mergeCell ref="K118:L118"/>
    <mergeCell ref="C121:D121"/>
    <mergeCell ref="E121:F121"/>
    <mergeCell ref="G121:H121"/>
    <mergeCell ref="I121:J121"/>
    <mergeCell ref="K121:L121"/>
    <mergeCell ref="C122:D122"/>
    <mergeCell ref="E122:F122"/>
    <mergeCell ref="G122:H122"/>
    <mergeCell ref="I122:J122"/>
    <mergeCell ref="K122:L122"/>
    <mergeCell ref="C123:D123"/>
    <mergeCell ref="E123:F123"/>
    <mergeCell ref="G123:H123"/>
    <mergeCell ref="I123:J123"/>
    <mergeCell ref="K123:L123"/>
    <mergeCell ref="C124:D124"/>
    <mergeCell ref="E124:F124"/>
    <mergeCell ref="G124:H124"/>
    <mergeCell ref="I124:J124"/>
    <mergeCell ref="K124:L124"/>
  </mergeCells>
  <dataValidations disablePrompts="1" count="1">
    <dataValidation type="list" allowBlank="1" showInputMessage="1" showErrorMessage="1" sqref="C1" xr:uid="{30F3CC8E-483C-40EA-9184-9AFA5BE7ADD0}">
      <formula1>$E$1:$L$1</formula1>
    </dataValidation>
  </dataValidations>
  <hyperlinks>
    <hyperlink ref="R272" r:id="rId1" xr:uid="{28FB6B5C-A98E-43D1-B5E4-4DAC3C578770}"/>
    <hyperlink ref="Q272" r:id="rId2" xr:uid="{ABCE975F-9A82-49D7-8753-A916F950B2B1}"/>
    <hyperlink ref="P272" r:id="rId3" xr:uid="{C7314CC3-0903-449B-870C-2CCF01DB89D5}"/>
    <hyperlink ref="O272" r:id="rId4" xr:uid="{7C9BB2F4-B5E1-46C0-8CDC-EE0B42C88DF5}"/>
  </hyperlinks>
  <pageMargins left="0.7" right="0.7" top="0.78740157499999996" bottom="0.78740157499999996" header="0.3" footer="0.3"/>
  <pageSetup paperSize="9" orientation="portrait"/>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J64"/>
  <sheetViews>
    <sheetView showGridLines="0" showRowColHeaders="0" zoomScaleNormal="100" workbookViewId="0">
      <selection activeCell="I8" sqref="I8:N8"/>
    </sheetView>
  </sheetViews>
  <sheetFormatPr defaultColWidth="0" defaultRowHeight="14.85" customHeight="1" zeroHeight="1"/>
  <cols>
    <col min="1" max="3" width="8.5703125" style="286" customWidth="1"/>
    <col min="4" max="4" width="6.5703125" style="286" customWidth="1"/>
    <col min="5" max="16" width="8.5703125" style="286" customWidth="1"/>
    <col min="17" max="17" width="6.5703125" style="286" customWidth="1"/>
    <col min="18" max="18" width="8.5703125" style="286" customWidth="1"/>
    <col min="19" max="20" width="11.28515625" style="286" customWidth="1"/>
    <col min="21" max="21" width="17.5703125" style="286" hidden="1" customWidth="1"/>
    <col min="22" max="22" width="8.85546875" style="286" hidden="1" customWidth="1"/>
    <col min="23" max="23" width="18.5703125" style="286" hidden="1" customWidth="1"/>
    <col min="24" max="36" width="0" style="286" hidden="1" customWidth="1"/>
    <col min="37" max="16384" width="8.85546875" style="286" hidden="1"/>
  </cols>
  <sheetData>
    <row r="1" spans="1:36" ht="15">
      <c r="A1" s="174"/>
      <c r="B1" s="174"/>
      <c r="C1" s="174"/>
      <c r="D1" s="174"/>
      <c r="E1" s="174"/>
      <c r="F1" s="174"/>
      <c r="G1" s="174"/>
      <c r="H1" s="174"/>
      <c r="I1" s="174"/>
      <c r="J1" s="174"/>
      <c r="K1" s="174"/>
      <c r="L1" s="174"/>
      <c r="M1" s="174"/>
      <c r="N1" s="174"/>
      <c r="O1" s="174"/>
      <c r="P1" s="1"/>
      <c r="Q1" s="1"/>
      <c r="R1" s="1"/>
      <c r="S1" s="1"/>
      <c r="T1" s="1"/>
    </row>
    <row r="2" spans="1:36" ht="15">
      <c r="A2" s="175"/>
      <c r="B2" s="175"/>
      <c r="C2" s="175"/>
      <c r="D2" s="175"/>
      <c r="E2" s="175"/>
      <c r="F2" s="175"/>
      <c r="G2" s="175"/>
      <c r="H2" s="175"/>
      <c r="I2" s="175"/>
      <c r="J2" s="175"/>
      <c r="K2" s="175"/>
      <c r="L2" s="175"/>
      <c r="M2" s="175"/>
      <c r="N2" s="175"/>
      <c r="O2" s="175"/>
      <c r="P2" s="120"/>
      <c r="Q2" s="517" t="str">
        <f>'Translate&amp;Prices&amp;Logo'!$B$540</f>
        <v>Main page</v>
      </c>
      <c r="R2" s="518"/>
      <c r="S2" s="518"/>
      <c r="T2" s="518"/>
    </row>
    <row r="3" spans="1:36" ht="15">
      <c r="A3" s="175"/>
      <c r="B3" s="175"/>
      <c r="C3" s="175"/>
      <c r="D3" s="175"/>
      <c r="E3" s="175"/>
      <c r="F3" s="175"/>
      <c r="G3" s="175"/>
      <c r="H3" s="175"/>
      <c r="I3" s="175"/>
      <c r="J3" s="175"/>
      <c r="K3" s="175"/>
      <c r="L3" s="175"/>
      <c r="M3" s="175"/>
      <c r="N3" s="175"/>
      <c r="O3" s="175"/>
      <c r="P3" s="120"/>
      <c r="Q3" s="517"/>
      <c r="R3" s="518"/>
      <c r="S3" s="518"/>
      <c r="T3" s="518"/>
      <c r="W3" s="286" t="e">
        <f>VLOOKUP(I24,V5:W7,2,0)</f>
        <v>#N/A</v>
      </c>
    </row>
    <row r="4" spans="1:36" ht="15">
      <c r="A4" s="174"/>
      <c r="B4" s="174"/>
      <c r="C4" s="174"/>
      <c r="D4" s="174"/>
      <c r="E4" s="174"/>
      <c r="F4" s="174"/>
      <c r="G4" s="174"/>
      <c r="H4" s="174"/>
      <c r="I4" s="174"/>
      <c r="J4" s="1"/>
      <c r="K4" s="1"/>
      <c r="L4" s="1"/>
      <c r="M4" s="1"/>
      <c r="N4" s="1"/>
      <c r="O4" s="1"/>
      <c r="P4" s="1"/>
      <c r="Q4" s="1"/>
      <c r="R4" s="1"/>
      <c r="S4" s="1"/>
      <c r="T4" s="1"/>
      <c r="AE4" s="68" t="s">
        <v>4647</v>
      </c>
      <c r="AF4" s="68" t="s">
        <v>4648</v>
      </c>
      <c r="AG4" s="68" t="s">
        <v>4649</v>
      </c>
      <c r="AH4" s="68" t="s">
        <v>4650</v>
      </c>
      <c r="AI4" s="68" t="s">
        <v>4651</v>
      </c>
      <c r="AJ4" s="68" t="s">
        <v>4652</v>
      </c>
    </row>
    <row r="5" spans="1:36" ht="14.85" customHeight="1">
      <c r="A5" s="1"/>
      <c r="B5" s="1"/>
      <c r="C5" s="1"/>
      <c r="D5" s="1"/>
      <c r="E5" s="1"/>
      <c r="F5" s="1"/>
      <c r="G5" s="1"/>
      <c r="H5" s="1"/>
      <c r="I5" s="1"/>
      <c r="J5" s="1"/>
      <c r="K5" s="1"/>
      <c r="L5" s="1"/>
      <c r="M5" s="1"/>
      <c r="N5" s="1"/>
      <c r="O5" s="1"/>
      <c r="P5" s="1"/>
      <c r="Q5" s="1"/>
      <c r="R5" s="1"/>
      <c r="S5" s="1"/>
      <c r="T5" s="1"/>
      <c r="V5" s="286" t="str">
        <f>'Translate&amp;Prices&amp;Logo'!B638</f>
        <v>Not treated</v>
      </c>
      <c r="W5" s="286">
        <v>1</v>
      </c>
      <c r="AC5" s="470">
        <f>MAX(I21:R22)</f>
        <v>0</v>
      </c>
      <c r="AE5" s="68">
        <v>0</v>
      </c>
      <c r="AF5" s="68">
        <v>601</v>
      </c>
      <c r="AG5" s="68">
        <v>801</v>
      </c>
      <c r="AH5" s="68">
        <v>1500</v>
      </c>
      <c r="AI5" s="68">
        <v>2000</v>
      </c>
      <c r="AJ5" s="68">
        <v>2500</v>
      </c>
    </row>
    <row r="6" spans="1:36" ht="14.85" customHeight="1">
      <c r="A6" s="1"/>
      <c r="B6" s="1"/>
      <c r="C6" s="1"/>
      <c r="D6" s="1"/>
      <c r="E6" s="1"/>
      <c r="F6" s="1"/>
      <c r="G6" s="1"/>
      <c r="H6" s="1"/>
      <c r="I6" s="1"/>
      <c r="J6" s="1"/>
      <c r="K6" s="1"/>
      <c r="L6" s="1"/>
      <c r="M6" s="1"/>
      <c r="N6" s="1"/>
      <c r="O6" s="1"/>
      <c r="P6" s="1"/>
      <c r="Q6" s="1"/>
      <c r="R6" s="1"/>
      <c r="S6" s="1"/>
      <c r="T6" s="1"/>
      <c r="V6" s="286" t="str">
        <f>'Translate&amp;Prices&amp;Logo'!B639</f>
        <v>Harded (delivery is 4 weeks)</v>
      </c>
      <c r="W6" s="286">
        <v>2</v>
      </c>
      <c r="AE6" s="68">
        <v>1</v>
      </c>
      <c r="AF6" s="68">
        <v>2</v>
      </c>
      <c r="AG6" s="68">
        <v>3</v>
      </c>
      <c r="AH6" s="68">
        <v>4</v>
      </c>
      <c r="AI6" s="68">
        <v>5</v>
      </c>
      <c r="AJ6" s="68">
        <v>6</v>
      </c>
    </row>
    <row r="7" spans="1:36" ht="14.85" customHeight="1">
      <c r="A7" s="1"/>
      <c r="B7" s="1"/>
      <c r="C7" s="1"/>
      <c r="D7" s="1"/>
      <c r="E7" s="1"/>
      <c r="F7" s="1"/>
      <c r="G7" s="1"/>
      <c r="H7" s="1"/>
      <c r="I7" s="1"/>
      <c r="J7" s="1"/>
      <c r="K7" s="1"/>
      <c r="L7" s="1"/>
      <c r="M7" s="1"/>
      <c r="N7" s="1"/>
      <c r="O7" s="1"/>
      <c r="P7" s="1"/>
      <c r="Q7" s="1"/>
      <c r="R7" s="1"/>
      <c r="S7" s="1"/>
      <c r="T7" s="1"/>
      <c r="V7" s="286" t="str">
        <f>'Translate&amp;Prices&amp;Logo'!B640</f>
        <v>Foil</v>
      </c>
      <c r="W7" s="286">
        <v>3</v>
      </c>
      <c r="Z7" s="286" t="e">
        <f t="array" ref="Z7:Z64">IF(W3=1,_N1,IF(W3=2,_N2,IF(W3=3,_N3)))</f>
        <v>#N/A</v>
      </c>
      <c r="AE7" s="68">
        <v>39.799999999999997</v>
      </c>
      <c r="AF7" s="68">
        <v>49.5</v>
      </c>
      <c r="AG7" s="68">
        <v>106</v>
      </c>
      <c r="AH7" s="68">
        <v>297.5</v>
      </c>
      <c r="AI7" s="68">
        <v>351</v>
      </c>
      <c r="AJ7" s="68">
        <v>456.5</v>
      </c>
    </row>
    <row r="8" spans="1:36" ht="14.85" customHeight="1">
      <c r="A8" s="1"/>
      <c r="B8" s="1"/>
      <c r="C8" s="570" t="str">
        <f>'Translate&amp;Prices&amp;Logo'!$B$249</f>
        <v>Customer</v>
      </c>
      <c r="D8" s="570"/>
      <c r="E8" s="570"/>
      <c r="F8" s="570"/>
      <c r="G8" s="570"/>
      <c r="H8" s="443"/>
      <c r="I8" s="571"/>
      <c r="J8" s="571"/>
      <c r="K8" s="571"/>
      <c r="L8" s="571"/>
      <c r="M8" s="571"/>
      <c r="N8" s="571"/>
      <c r="S8" s="1"/>
      <c r="T8" s="1"/>
      <c r="Z8" s="286" t="e">
        <v>#N/A</v>
      </c>
      <c r="AE8" s="1">
        <f>MATCH(AC5,AE5:AJ5,1)</f>
        <v>1</v>
      </c>
      <c r="AF8" s="1"/>
      <c r="AG8" s="1"/>
      <c r="AH8" s="1"/>
      <c r="AI8" s="1"/>
      <c r="AJ8" s="1"/>
    </row>
    <row r="9" spans="1:36" ht="14.85" customHeight="1">
      <c r="A9" s="1"/>
      <c r="B9" s="1"/>
      <c r="C9" s="1"/>
      <c r="D9" s="1"/>
      <c r="E9" s="1"/>
      <c r="F9" s="1"/>
      <c r="G9" s="1"/>
      <c r="H9" s="1"/>
      <c r="I9" s="1"/>
      <c r="J9" s="1"/>
      <c r="K9" s="1"/>
      <c r="L9" s="1"/>
      <c r="M9" s="1"/>
      <c r="N9" s="1"/>
      <c r="S9" s="1"/>
      <c r="T9" s="1"/>
      <c r="U9" s="286" t="e">
        <f>IF(W3=2,'Translate&amp;Prices&amp;Logo'!C94,0)</f>
        <v>#N/A</v>
      </c>
      <c r="V9" s="286" t="s">
        <v>2899</v>
      </c>
      <c r="Z9" s="286" t="e">
        <v>#N/A</v>
      </c>
      <c r="AE9" s="1">
        <f>IF(AND(Hlavní!V39=3,I16="Dostawa na adres"),IF(AE8=6,AJ7,HLOOKUP(AE8,AE6:AI7,2,0)),0)</f>
        <v>0</v>
      </c>
      <c r="AF9" s="1"/>
      <c r="AG9" s="1"/>
      <c r="AH9" s="1"/>
      <c r="AI9" s="1"/>
      <c r="AJ9" s="1"/>
    </row>
    <row r="10" spans="1:36" ht="14.85" customHeight="1">
      <c r="A10" s="1"/>
      <c r="B10" s="1"/>
      <c r="C10" s="570" t="str">
        <f>'Translate&amp;Prices&amp;Logo'!$B$253</f>
        <v>ID No:</v>
      </c>
      <c r="D10" s="570"/>
      <c r="E10" s="570"/>
      <c r="F10" s="570"/>
      <c r="G10" s="570"/>
      <c r="H10" s="443"/>
      <c r="I10" s="571"/>
      <c r="J10" s="571"/>
      <c r="K10" s="571"/>
      <c r="L10" s="571"/>
      <c r="M10" s="571"/>
      <c r="N10" s="571"/>
      <c r="S10" s="1"/>
      <c r="T10" s="1"/>
      <c r="U10" s="286">
        <f>IFERROR(IF(W3=3,(VLOOKUP(I27,'Translate&amp;Prices&amp;Logo'!B91:C93,2,0))*((I21/1000)*(I22/1000)),0),0)</f>
        <v>0</v>
      </c>
      <c r="V10" s="286" t="s">
        <v>2900</v>
      </c>
      <c r="Z10" s="286" t="e">
        <v>#N/A</v>
      </c>
    </row>
    <row r="11" spans="1:36" ht="14.85" customHeight="1">
      <c r="A11" s="1"/>
      <c r="B11" s="1"/>
      <c r="C11" s="1"/>
      <c r="D11" s="1"/>
      <c r="E11" s="1"/>
      <c r="F11" s="1"/>
      <c r="G11" s="1"/>
      <c r="H11" s="1"/>
      <c r="I11" s="1"/>
      <c r="J11" s="1"/>
      <c r="K11" s="1"/>
      <c r="L11" s="1"/>
      <c r="M11" s="1"/>
      <c r="N11" s="1"/>
      <c r="S11" s="1"/>
      <c r="T11" s="1"/>
      <c r="Z11" s="286" t="e">
        <v>#N/A</v>
      </c>
    </row>
    <row r="12" spans="1:36" ht="14.85" customHeight="1">
      <c r="A12" s="1"/>
      <c r="B12" s="1"/>
      <c r="C12" s="570" t="str">
        <f>'Translate&amp;Prices&amp;Logo'!$B$250</f>
        <v>Phone:</v>
      </c>
      <c r="D12" s="570"/>
      <c r="E12" s="570"/>
      <c r="F12" s="570"/>
      <c r="G12" s="570"/>
      <c r="H12" s="443"/>
      <c r="I12" s="571"/>
      <c r="J12" s="571"/>
      <c r="K12" s="571"/>
      <c r="L12" s="571"/>
      <c r="M12" s="571"/>
      <c r="N12" s="571"/>
      <c r="S12" s="1"/>
      <c r="T12" s="1"/>
      <c r="V12" s="286" t="str">
        <f>'Translate&amp;Prices&amp;Logo'!B95</f>
        <v>Gloss</v>
      </c>
      <c r="Z12" s="286" t="e">
        <v>#N/A</v>
      </c>
    </row>
    <row r="13" spans="1:36" ht="14.85" customHeight="1">
      <c r="A13" s="1"/>
      <c r="B13" s="1"/>
      <c r="C13" s="1"/>
      <c r="D13" s="1"/>
      <c r="E13" s="1"/>
      <c r="F13" s="1"/>
      <c r="G13" s="1"/>
      <c r="H13" s="1"/>
      <c r="I13" s="1"/>
      <c r="J13" s="1"/>
      <c r="K13" s="1"/>
      <c r="L13" s="1"/>
      <c r="M13" s="1"/>
      <c r="N13" s="1"/>
      <c r="S13" s="1"/>
      <c r="T13" s="1"/>
      <c r="V13" s="286" t="str">
        <f>'Translate&amp;Prices&amp;Logo'!B96</f>
        <v>Matt</v>
      </c>
      <c r="Z13" s="286" t="e">
        <v>#N/A</v>
      </c>
    </row>
    <row r="14" spans="1:36" ht="14.85" customHeight="1">
      <c r="A14" s="1"/>
      <c r="B14" s="1"/>
      <c r="C14" s="570" t="str">
        <f>'Translate&amp;Prices&amp;Logo'!$B$723</f>
        <v>Discount</v>
      </c>
      <c r="D14" s="570"/>
      <c r="E14" s="570"/>
      <c r="F14" s="570"/>
      <c r="G14" s="570"/>
      <c r="H14" s="443"/>
      <c r="I14" s="571"/>
      <c r="J14" s="571"/>
      <c r="K14" s="571"/>
      <c r="L14" s="571"/>
      <c r="M14" s="571"/>
      <c r="N14" s="571"/>
      <c r="S14" s="1"/>
      <c r="T14" s="1"/>
      <c r="Z14" s="286" t="e">
        <v>#N/A</v>
      </c>
    </row>
    <row r="15" spans="1:36" ht="14.85" customHeight="1">
      <c r="A15" s="1"/>
      <c r="B15" s="1"/>
      <c r="C15" s="1"/>
      <c r="D15" s="1"/>
      <c r="E15" s="1"/>
      <c r="F15" s="1"/>
      <c r="G15" s="1"/>
      <c r="H15" s="1"/>
      <c r="I15" s="39"/>
      <c r="J15" s="39"/>
      <c r="K15" s="39"/>
      <c r="L15" s="39"/>
      <c r="M15" s="39"/>
      <c r="N15" s="39"/>
      <c r="P15" s="447"/>
      <c r="Q15" s="447"/>
      <c r="R15" s="447"/>
      <c r="S15" s="447"/>
      <c r="T15" s="447"/>
      <c r="Z15" s="286" t="e">
        <v>#N/A</v>
      </c>
    </row>
    <row r="16" spans="1:36" ht="14.85" customHeight="1">
      <c r="A16" s="1"/>
      <c r="B16" s="1"/>
      <c r="C16" s="572" t="str">
        <f>IF(Hlavní!V39=3,"Dostawa","")</f>
        <v/>
      </c>
      <c r="D16" s="572"/>
      <c r="E16" s="572"/>
      <c r="F16" s="572"/>
      <c r="G16" s="572"/>
      <c r="H16" s="160"/>
      <c r="I16" s="574"/>
      <c r="J16" s="574"/>
      <c r="K16" s="574"/>
      <c r="L16" s="574"/>
      <c r="M16" s="574"/>
      <c r="N16" s="574"/>
      <c r="P16" s="447"/>
      <c r="Q16" s="447"/>
      <c r="R16" s="447"/>
      <c r="S16" s="447"/>
      <c r="T16" s="447"/>
      <c r="V16" s="286" t="e">
        <f>VLOOKUP(I29,'Translate&amp;Prices&amp;Logo'!B95:C96,2,0)</f>
        <v>#N/A</v>
      </c>
      <c r="W16" s="286" t="e">
        <f>V16*(2*(I21/1000))*(2*(I22/1000))</f>
        <v>#N/A</v>
      </c>
      <c r="Z16" s="286" t="e">
        <v>#N/A</v>
      </c>
    </row>
    <row r="17" spans="1:26" ht="48.75" customHeight="1">
      <c r="A17" s="1"/>
      <c r="B17" s="1"/>
      <c r="C17" s="548" t="str">
        <f>IF(I16="Dostawa na adres","W przypadku wyboru DOSTAWA NA ADRES do zamówienia zostanie automatycznie doliczona opłata transportowa","")</f>
        <v/>
      </c>
      <c r="D17" s="548"/>
      <c r="E17" s="548"/>
      <c r="F17" s="548"/>
      <c r="G17" s="548"/>
      <c r="H17" s="548"/>
      <c r="I17" s="548"/>
      <c r="J17" s="548"/>
      <c r="K17" s="548"/>
      <c r="L17" s="548"/>
      <c r="M17" s="548"/>
      <c r="N17" s="548"/>
      <c r="P17" s="447"/>
      <c r="R17" s="573" t="str">
        <f>IF(I16="Dostawa na adres","Cennik transportu - kliknij tutaj","")</f>
        <v/>
      </c>
      <c r="S17" s="573"/>
      <c r="T17" s="573"/>
      <c r="Z17" s="286" t="e">
        <v>#N/A</v>
      </c>
    </row>
    <row r="18" spans="1:26" ht="14.85" customHeight="1">
      <c r="A18" s="1"/>
      <c r="B18" s="1"/>
      <c r="C18" s="572" t="str">
        <f>IF(Hlavní!V39=3,"Adres","")</f>
        <v/>
      </c>
      <c r="D18" s="572"/>
      <c r="E18" s="572"/>
      <c r="F18" s="572"/>
      <c r="G18" s="572"/>
      <c r="H18" s="160"/>
      <c r="I18" s="575"/>
      <c r="J18" s="575"/>
      <c r="K18" s="575"/>
      <c r="L18" s="575"/>
      <c r="M18" s="575"/>
      <c r="N18" s="575"/>
      <c r="O18" s="575"/>
      <c r="P18" s="575"/>
      <c r="Q18" s="575"/>
      <c r="R18" s="575"/>
      <c r="S18" s="1"/>
      <c r="T18" s="1"/>
      <c r="Z18" s="286" t="e">
        <v>#N/A</v>
      </c>
    </row>
    <row r="19" spans="1:26" ht="14.85" customHeight="1">
      <c r="A19" s="1"/>
      <c r="B19" s="1"/>
      <c r="I19" s="575"/>
      <c r="J19" s="575"/>
      <c r="K19" s="575"/>
      <c r="L19" s="575"/>
      <c r="M19" s="575"/>
      <c r="N19" s="575"/>
      <c r="O19" s="575"/>
      <c r="P19" s="575"/>
      <c r="Q19" s="575"/>
      <c r="R19" s="575"/>
      <c r="S19" s="1"/>
      <c r="T19" s="1"/>
      <c r="V19" s="286">
        <f>IFERROR((VLOOKUP(I28,'Translate&amp;Prices&amp;Logo'!B99:D163,2,0))*((I21/1000)*(I22/1000))+U9+U10+W16,0)</f>
        <v>0</v>
      </c>
      <c r="Z19" s="286" t="e">
        <v>#N/A</v>
      </c>
    </row>
    <row r="20" spans="1:26" ht="14.85" customHeight="1">
      <c r="A20" s="1"/>
      <c r="B20" s="1"/>
      <c r="S20" s="1"/>
      <c r="T20" s="1"/>
      <c r="Z20" s="286" t="e">
        <v>#N/A</v>
      </c>
    </row>
    <row r="21" spans="1:26" ht="14.85" customHeight="1">
      <c r="A21" s="1"/>
      <c r="B21" s="1"/>
      <c r="C21" s="561" t="str">
        <f>'Translate&amp;Prices&amp;Logo'!$B$175</f>
        <v>Width</v>
      </c>
      <c r="D21" s="562"/>
      <c r="E21" s="562"/>
      <c r="F21" s="562"/>
      <c r="G21" s="562"/>
      <c r="H21" s="249"/>
      <c r="I21" s="555"/>
      <c r="J21" s="555"/>
      <c r="K21" s="555"/>
      <c r="L21" s="555"/>
      <c r="M21" s="555"/>
      <c r="N21" s="555"/>
      <c r="O21" s="555"/>
      <c r="P21" s="555"/>
      <c r="Q21" s="555"/>
      <c r="R21" s="556"/>
      <c r="S21" s="1"/>
      <c r="T21" s="1"/>
      <c r="Z21" s="286" t="e">
        <v>#N/A</v>
      </c>
    </row>
    <row r="22" spans="1:26" ht="14.85" customHeight="1">
      <c r="A22" s="1"/>
      <c r="B22" s="1"/>
      <c r="C22" s="561" t="str">
        <f>'Translate&amp;Prices&amp;Logo'!$B$176</f>
        <v>Height</v>
      </c>
      <c r="D22" s="562"/>
      <c r="E22" s="562"/>
      <c r="F22" s="562"/>
      <c r="G22" s="562"/>
      <c r="H22" s="249"/>
      <c r="I22" s="555"/>
      <c r="J22" s="555"/>
      <c r="K22" s="555"/>
      <c r="L22" s="555"/>
      <c r="M22" s="555"/>
      <c r="N22" s="555"/>
      <c r="O22" s="555"/>
      <c r="P22" s="555"/>
      <c r="Q22" s="555"/>
      <c r="R22" s="556"/>
      <c r="S22" s="1"/>
      <c r="T22" s="1"/>
      <c r="Z22" s="286" t="e">
        <v>#N/A</v>
      </c>
    </row>
    <row r="23" spans="1:26" ht="14.85" customHeight="1">
      <c r="C23" s="270"/>
      <c r="D23" s="268"/>
      <c r="E23" s="268"/>
      <c r="F23" s="268"/>
      <c r="G23" s="268"/>
      <c r="H23" s="1"/>
      <c r="I23" s="1"/>
      <c r="J23" s="1"/>
      <c r="K23" s="1"/>
      <c r="L23" s="1"/>
      <c r="M23" s="1"/>
      <c r="N23" s="1"/>
      <c r="O23" s="1"/>
      <c r="P23" s="1"/>
      <c r="Q23" s="1"/>
      <c r="R23" s="269"/>
      <c r="V23" s="286" t="str">
        <f>'Translate&amp;Prices&amp;Logo'!B91</f>
        <v>Transparent</v>
      </c>
      <c r="Z23" s="286" t="e">
        <v>#N/A</v>
      </c>
    </row>
    <row r="24" spans="1:26" ht="14.85" customHeight="1">
      <c r="C24" s="561" t="str">
        <f>'Translate&amp;Prices&amp;Logo'!$B$173</f>
        <v>Type of glass</v>
      </c>
      <c r="D24" s="562"/>
      <c r="E24" s="562"/>
      <c r="F24" s="562"/>
      <c r="G24" s="562"/>
      <c r="H24" s="249"/>
      <c r="I24" s="559"/>
      <c r="J24" s="559"/>
      <c r="K24" s="559"/>
      <c r="L24" s="559"/>
      <c r="M24" s="559"/>
      <c r="N24" s="559"/>
      <c r="O24" s="559"/>
      <c r="P24" s="559"/>
      <c r="Q24" s="559"/>
      <c r="R24" s="560"/>
      <c r="V24" s="286" t="str">
        <f>'Translate&amp;Prices&amp;Logo'!B92</f>
        <v>White</v>
      </c>
      <c r="Z24" s="286" t="e">
        <v>#N/A</v>
      </c>
    </row>
    <row r="25" spans="1:26" ht="14.85" customHeight="1">
      <c r="C25" s="271"/>
      <c r="D25" s="267"/>
      <c r="E25" s="267"/>
      <c r="F25" s="267"/>
      <c r="G25" s="267"/>
      <c r="H25" s="250"/>
      <c r="I25" s="250"/>
      <c r="J25" s="250"/>
      <c r="K25" s="250"/>
      <c r="L25" s="250"/>
      <c r="M25" s="250"/>
      <c r="N25" s="250"/>
      <c r="O25" s="250"/>
      <c r="P25" s="250"/>
      <c r="Q25" s="250"/>
      <c r="R25" s="250"/>
      <c r="V25" s="286" t="str">
        <f>'Translate&amp;Prices&amp;Logo'!B93</f>
        <v>Black</v>
      </c>
      <c r="Z25" s="286" t="e">
        <v>#N/A</v>
      </c>
    </row>
    <row r="26" spans="1:26" ht="14.85" customHeight="1">
      <c r="C26" s="271"/>
      <c r="D26" s="267"/>
      <c r="E26" s="267"/>
      <c r="F26" s="267"/>
      <c r="G26" s="267"/>
      <c r="H26" s="250"/>
      <c r="I26" s="568" t="str">
        <f>"↥↥"&amp;"   "&amp;'Translate&amp;Prices&amp;Logo'!$B$573&amp;" "&amp;C28&amp;"   "&amp;"↥↥"</f>
        <v>↥↥   Do not change after you make a choice type of glass/mesh Type of glass/mesh   ↥↥</v>
      </c>
      <c r="J26" s="568"/>
      <c r="K26" s="568"/>
      <c r="L26" s="568"/>
      <c r="M26" s="568"/>
      <c r="N26" s="568"/>
      <c r="O26" s="568"/>
      <c r="P26" s="568"/>
      <c r="Q26" s="568"/>
      <c r="R26" s="569"/>
      <c r="Z26" s="286" t="e">
        <v>#N/A</v>
      </c>
    </row>
    <row r="27" spans="1:26" ht="14.85" customHeight="1">
      <c r="C27" s="561" t="str">
        <f>'Translate&amp;Prices&amp;Logo'!$B$562</f>
        <v>Type of foil</v>
      </c>
      <c r="D27" s="562"/>
      <c r="E27" s="562"/>
      <c r="F27" s="562"/>
      <c r="G27" s="562"/>
      <c r="H27" s="249"/>
      <c r="I27" s="557"/>
      <c r="J27" s="557"/>
      <c r="K27" s="557"/>
      <c r="L27" s="557"/>
      <c r="M27" s="557"/>
      <c r="N27" s="557"/>
      <c r="O27" s="557"/>
      <c r="P27" s="557"/>
      <c r="Q27" s="557"/>
      <c r="R27" s="558"/>
      <c r="Z27" s="286" t="e">
        <v>#N/A</v>
      </c>
    </row>
    <row r="28" spans="1:26" ht="14.85" customHeight="1">
      <c r="C28" s="561" t="str">
        <f>'Translate&amp;Prices&amp;Logo'!$B$625</f>
        <v>Type of glass/mesh</v>
      </c>
      <c r="D28" s="562"/>
      <c r="E28" s="562"/>
      <c r="F28" s="562"/>
      <c r="G28" s="562"/>
      <c r="H28" s="249"/>
      <c r="I28" s="557"/>
      <c r="J28" s="557"/>
      <c r="K28" s="557"/>
      <c r="L28" s="557"/>
      <c r="M28" s="557"/>
      <c r="N28" s="557"/>
      <c r="O28" s="557"/>
      <c r="P28" s="557"/>
      <c r="Q28" s="557"/>
      <c r="R28" s="558"/>
      <c r="Z28" s="286" t="e">
        <v>#N/A</v>
      </c>
    </row>
    <row r="29" spans="1:26" ht="14.85" customHeight="1">
      <c r="C29" s="561" t="str">
        <f>'Translate&amp;Prices&amp;Logo'!$B$658</f>
        <v>Edge finishing</v>
      </c>
      <c r="D29" s="562"/>
      <c r="E29" s="562"/>
      <c r="F29" s="562"/>
      <c r="G29" s="562"/>
      <c r="H29" s="249"/>
      <c r="I29" s="557"/>
      <c r="J29" s="557"/>
      <c r="K29" s="557"/>
      <c r="L29" s="557"/>
      <c r="M29" s="557"/>
      <c r="N29" s="557"/>
      <c r="O29" s="557"/>
      <c r="P29" s="557"/>
      <c r="Q29" s="557"/>
      <c r="R29" s="558"/>
      <c r="Z29" s="286" t="e">
        <v>#N/A</v>
      </c>
    </row>
    <row r="30" spans="1:26" ht="14.85" customHeight="1">
      <c r="C30" s="561" t="str">
        <f>('Translate&amp;Prices&amp;Logo'!$B$174)</f>
        <v>Quantity</v>
      </c>
      <c r="D30" s="562"/>
      <c r="E30" s="562"/>
      <c r="F30" s="562"/>
      <c r="G30" s="562"/>
      <c r="H30" s="249"/>
      <c r="I30" s="557"/>
      <c r="J30" s="557"/>
      <c r="K30" s="557"/>
      <c r="L30" s="557"/>
      <c r="M30" s="557"/>
      <c r="N30" s="557"/>
      <c r="O30" s="557"/>
      <c r="P30" s="557"/>
      <c r="Q30" s="557"/>
      <c r="R30" s="558"/>
      <c r="Z30" s="286" t="e">
        <v>#N/A</v>
      </c>
    </row>
    <row r="31" spans="1:26" ht="14.85" customHeight="1">
      <c r="C31" s="272"/>
      <c r="D31" s="1"/>
      <c r="E31" s="1"/>
      <c r="F31" s="1"/>
      <c r="G31" s="1"/>
      <c r="H31" s="1"/>
      <c r="I31" s="1"/>
      <c r="J31" s="1"/>
      <c r="K31" s="1"/>
      <c r="L31" s="1"/>
      <c r="M31" s="1"/>
      <c r="N31" s="1"/>
      <c r="O31" s="1"/>
      <c r="P31" s="1"/>
      <c r="Q31" s="1"/>
      <c r="R31" s="269"/>
      <c r="Z31" s="286" t="e">
        <v>#N/A</v>
      </c>
    </row>
    <row r="32" spans="1:26" ht="14.85" customHeight="1">
      <c r="C32" s="549" t="str">
        <f>'Translate&amp;Prices&amp;Logo'!$B$692</f>
        <v>Price</v>
      </c>
      <c r="D32" s="550"/>
      <c r="E32" s="550"/>
      <c r="F32" s="550"/>
      <c r="G32" s="550"/>
      <c r="H32" s="550"/>
      <c r="I32" s="550"/>
      <c r="J32" s="550"/>
      <c r="K32" s="550"/>
      <c r="L32" s="553"/>
      <c r="M32" s="563">
        <f>V19*I30*(1-I14/100)</f>
        <v>0</v>
      </c>
      <c r="N32" s="563"/>
      <c r="O32" s="563"/>
      <c r="P32" s="563"/>
      <c r="Q32" s="563"/>
      <c r="R32" s="565" t="str">
        <f>VLOOKUP('Translate&amp;Prices&amp;Logo'!D1,'závěsy dle výklopu'!A204:B209,2,0)</f>
        <v>€</v>
      </c>
      <c r="Z32" s="286" t="e">
        <v>#N/A</v>
      </c>
    </row>
    <row r="33" spans="3:26" ht="14.85" customHeight="1">
      <c r="C33" s="551"/>
      <c r="D33" s="552"/>
      <c r="E33" s="552"/>
      <c r="F33" s="552"/>
      <c r="G33" s="552"/>
      <c r="H33" s="552"/>
      <c r="I33" s="552"/>
      <c r="J33" s="552"/>
      <c r="K33" s="552"/>
      <c r="L33" s="554"/>
      <c r="M33" s="564"/>
      <c r="N33" s="564"/>
      <c r="O33" s="564"/>
      <c r="P33" s="564"/>
      <c r="Q33" s="564"/>
      <c r="R33" s="566"/>
      <c r="Z33" s="286" t="e">
        <v>#N/A</v>
      </c>
    </row>
    <row r="34" spans="3:26" ht="14.85" customHeight="1">
      <c r="Z34" s="286" t="e">
        <v>#N/A</v>
      </c>
    </row>
    <row r="35" spans="3:26" ht="14.85" customHeight="1">
      <c r="C35" s="546" t="str">
        <f>IF(I16="Dostawa na adres","Koszt transportu","")</f>
        <v/>
      </c>
      <c r="D35" s="546"/>
      <c r="E35" s="546"/>
      <c r="F35" s="546"/>
      <c r="G35" s="546"/>
      <c r="H35" s="546"/>
      <c r="I35" s="546"/>
      <c r="J35" s="546"/>
      <c r="K35" s="546"/>
      <c r="L35" s="547"/>
      <c r="M35" s="567" t="str">
        <f>IF(I16="Dostawa na adres",I30*AE9,"")</f>
        <v/>
      </c>
      <c r="N35" s="567"/>
      <c r="O35" s="567"/>
      <c r="P35" s="567"/>
      <c r="Q35" s="567"/>
      <c r="R35" s="545" t="str">
        <f>VLOOKUP('Translate&amp;Prices&amp;Logo'!D1,'závěsy dle výklopu'!A204:B209,2,0)</f>
        <v>€</v>
      </c>
      <c r="Z35" s="286" t="e">
        <v>#N/A</v>
      </c>
    </row>
    <row r="36" spans="3:26" ht="14.85" customHeight="1">
      <c r="C36" s="546"/>
      <c r="D36" s="546"/>
      <c r="E36" s="546"/>
      <c r="F36" s="546"/>
      <c r="G36" s="546"/>
      <c r="H36" s="546"/>
      <c r="I36" s="546"/>
      <c r="J36" s="546"/>
      <c r="K36" s="546"/>
      <c r="L36" s="547"/>
      <c r="M36" s="567"/>
      <c r="N36" s="567"/>
      <c r="O36" s="567"/>
      <c r="P36" s="567"/>
      <c r="Q36" s="567"/>
      <c r="R36" s="545"/>
      <c r="Z36" s="286" t="e">
        <v>#N/A</v>
      </c>
    </row>
    <row r="37" spans="3:26" ht="14.85" customHeight="1">
      <c r="Z37" s="286" t="e">
        <v>#N/A</v>
      </c>
    </row>
    <row r="38" spans="3:26" ht="14.85" hidden="1" customHeight="1">
      <c r="Z38" s="286" t="e">
        <v>#N/A</v>
      </c>
    </row>
    <row r="39" spans="3:26" ht="14.85" hidden="1" customHeight="1">
      <c r="Z39" s="286" t="e">
        <v>#N/A</v>
      </c>
    </row>
    <row r="40" spans="3:26" ht="14.85" hidden="1" customHeight="1">
      <c r="Z40" s="286" t="e">
        <v>#N/A</v>
      </c>
    </row>
    <row r="41" spans="3:26" ht="14.85" hidden="1" customHeight="1">
      <c r="Z41" s="286" t="e">
        <v>#N/A</v>
      </c>
    </row>
    <row r="42" spans="3:26" ht="14.85" hidden="1" customHeight="1">
      <c r="Z42" s="286" t="e">
        <v>#N/A</v>
      </c>
    </row>
    <row r="43" spans="3:26" ht="14.85" hidden="1" customHeight="1">
      <c r="Z43" s="286" t="e">
        <v>#N/A</v>
      </c>
    </row>
    <row r="44" spans="3:26" ht="14.85" hidden="1" customHeight="1">
      <c r="Z44" s="286" t="e">
        <v>#N/A</v>
      </c>
    </row>
    <row r="45" spans="3:26" ht="14.85" hidden="1" customHeight="1">
      <c r="Z45" s="286" t="e">
        <v>#N/A</v>
      </c>
    </row>
    <row r="46" spans="3:26" ht="14.85" hidden="1" customHeight="1">
      <c r="Z46" s="286" t="e">
        <v>#N/A</v>
      </c>
    </row>
    <row r="47" spans="3:26" ht="14.85" hidden="1" customHeight="1">
      <c r="Z47" s="286" t="e">
        <v>#N/A</v>
      </c>
    </row>
    <row r="48" spans="3:26" ht="14.85" hidden="1" customHeight="1">
      <c r="Z48" s="286" t="e">
        <v>#N/A</v>
      </c>
    </row>
    <row r="49" spans="26:26" ht="14.85" hidden="1" customHeight="1">
      <c r="Z49" s="286" t="e">
        <v>#N/A</v>
      </c>
    </row>
    <row r="50" spans="26:26" ht="14.85" hidden="1" customHeight="1">
      <c r="Z50" s="286" t="e">
        <v>#N/A</v>
      </c>
    </row>
    <row r="51" spans="26:26" ht="14.85" hidden="1" customHeight="1">
      <c r="Z51" s="286" t="e">
        <v>#N/A</v>
      </c>
    </row>
    <row r="52" spans="26:26" ht="14.85" hidden="1" customHeight="1">
      <c r="Z52" s="286" t="e">
        <v>#N/A</v>
      </c>
    </row>
    <row r="53" spans="26:26" ht="14.85" hidden="1" customHeight="1">
      <c r="Z53" s="286" t="e">
        <v>#N/A</v>
      </c>
    </row>
    <row r="54" spans="26:26" ht="14.85" hidden="1" customHeight="1">
      <c r="Z54" s="286" t="e">
        <v>#N/A</v>
      </c>
    </row>
    <row r="55" spans="26:26" ht="14.85" hidden="1" customHeight="1">
      <c r="Z55" s="286" t="e">
        <v>#N/A</v>
      </c>
    </row>
    <row r="56" spans="26:26" ht="14.85" hidden="1" customHeight="1">
      <c r="Z56" s="286" t="e">
        <v>#N/A</v>
      </c>
    </row>
    <row r="57" spans="26:26" ht="14.85" hidden="1" customHeight="1">
      <c r="Z57" s="286" t="e">
        <v>#N/A</v>
      </c>
    </row>
    <row r="58" spans="26:26" ht="14.85" hidden="1" customHeight="1">
      <c r="Z58" s="286" t="e">
        <v>#N/A</v>
      </c>
    </row>
    <row r="59" spans="26:26" ht="14.85" hidden="1" customHeight="1">
      <c r="Z59" s="286" t="e">
        <v>#N/A</v>
      </c>
    </row>
    <row r="60" spans="26:26" ht="14.85" hidden="1" customHeight="1">
      <c r="Z60" s="286" t="e">
        <v>#N/A</v>
      </c>
    </row>
    <row r="61" spans="26:26" ht="14.85" hidden="1" customHeight="1">
      <c r="Z61" s="286" t="e">
        <v>#N/A</v>
      </c>
    </row>
    <row r="62" spans="26:26" ht="14.85" hidden="1" customHeight="1">
      <c r="Z62" s="286" t="e">
        <v>#N/A</v>
      </c>
    </row>
    <row r="63" spans="26:26" ht="14.85" hidden="1" customHeight="1">
      <c r="Z63" s="286" t="e">
        <v>#N/A</v>
      </c>
    </row>
    <row r="64" spans="26:26" ht="14.85" hidden="1" customHeight="1">
      <c r="Z64" s="286" t="e">
        <v>#N/A</v>
      </c>
    </row>
  </sheetData>
  <sheetProtection algorithmName="SHA-512" hashValue="x88UUL7nC07udm0eU750YLPBfuS6k57Zrrlqa8ZyE+YexYUWA/0rysCfQcTnOmRvFBbtgFCjYAQr6nS018AIpA==" saltValue="PAJzox45+cJNCujawRFLwg==" spinCount="100000" sheet="1" objects="1" scenarios="1"/>
  <mergeCells count="38">
    <mergeCell ref="I16:N16"/>
    <mergeCell ref="C18:G18"/>
    <mergeCell ref="C21:G21"/>
    <mergeCell ref="C22:G22"/>
    <mergeCell ref="I30:R30"/>
    <mergeCell ref="I18:R19"/>
    <mergeCell ref="I29:R29"/>
    <mergeCell ref="Q2:T3"/>
    <mergeCell ref="I26:R26"/>
    <mergeCell ref="C27:G27"/>
    <mergeCell ref="I27:R27"/>
    <mergeCell ref="C8:G8"/>
    <mergeCell ref="I8:N8"/>
    <mergeCell ref="C10:G10"/>
    <mergeCell ref="I10:N10"/>
    <mergeCell ref="C12:G12"/>
    <mergeCell ref="I12:N12"/>
    <mergeCell ref="C14:G14"/>
    <mergeCell ref="I14:N14"/>
    <mergeCell ref="C16:G16"/>
    <mergeCell ref="C24:G24"/>
    <mergeCell ref="I21:R21"/>
    <mergeCell ref="R17:T17"/>
    <mergeCell ref="R35:R36"/>
    <mergeCell ref="C35:K36"/>
    <mergeCell ref="L35:L36"/>
    <mergeCell ref="C17:N17"/>
    <mergeCell ref="C32:K33"/>
    <mergeCell ref="L32:L33"/>
    <mergeCell ref="I22:R22"/>
    <mergeCell ref="I28:R28"/>
    <mergeCell ref="I24:R24"/>
    <mergeCell ref="C28:G28"/>
    <mergeCell ref="C29:G29"/>
    <mergeCell ref="C30:G30"/>
    <mergeCell ref="M32:Q33"/>
    <mergeCell ref="R32:R33"/>
    <mergeCell ref="M35:Q36"/>
  </mergeCells>
  <conditionalFormatting sqref="C18">
    <cfRule type="expression" dxfId="804" priority="13">
      <formula>$I$16="Dostawa na adres"</formula>
    </cfRule>
  </conditionalFormatting>
  <conditionalFormatting sqref="C35:K36">
    <cfRule type="expression" dxfId="802" priority="5">
      <formula>$I$16="Dostawa na adres"</formula>
    </cfRule>
  </conditionalFormatting>
  <conditionalFormatting sqref="C27:R27">
    <cfRule type="expression" dxfId="801" priority="18">
      <formula>$W$3&lt;3</formula>
    </cfRule>
  </conditionalFormatting>
  <conditionalFormatting sqref="H18">
    <cfRule type="expression" dxfId="799" priority="12">
      <formula>$I$16="Dostawa na adres"</formula>
    </cfRule>
  </conditionalFormatting>
  <conditionalFormatting sqref="I18">
    <cfRule type="expression" dxfId="797" priority="6">
      <formula>$I$16="Dostawa na adres"</formula>
    </cfRule>
  </conditionalFormatting>
  <conditionalFormatting sqref="I18:R19">
    <cfRule type="expression" dxfId="796" priority="2">
      <formula>$I$16="Dostawa na adres"</formula>
    </cfRule>
  </conditionalFormatting>
  <conditionalFormatting sqref="L35:L36">
    <cfRule type="expression" dxfId="795" priority="4">
      <formula>$I$16="Dostawa na adres"</formula>
    </cfRule>
  </conditionalFormatting>
  <conditionalFormatting sqref="M35 R35">
    <cfRule type="expression" dxfId="794" priority="3">
      <formula>$I$16="Dostawa na adres"</formula>
    </cfRule>
  </conditionalFormatting>
  <dataValidations count="5">
    <dataValidation type="list" allowBlank="1" showInputMessage="1" showErrorMessage="1" sqref="I28:R28" xr:uid="{61D1B74F-917C-4EB6-8BF4-83821F72F66F}">
      <formula1>IF(W3=1,_N1,IF(W3=2,_N2,IF(W3=3,_N3)))</formula1>
    </dataValidation>
    <dataValidation type="list" allowBlank="1" showInputMessage="1" showErrorMessage="1" sqref="I24:R24" xr:uid="{216DBCF4-0D6D-44AD-BDE4-37E3643D616D}">
      <formula1>$V$5:$V$7</formula1>
    </dataValidation>
    <dataValidation type="list" allowBlank="1" showInputMessage="1" showErrorMessage="1" sqref="I29:R29" xr:uid="{5F03700A-BBB0-4AA8-8B7A-338B31EC295D}">
      <formula1>$V$12:$V$13</formula1>
    </dataValidation>
    <dataValidation type="list" allowBlank="1" showInputMessage="1" showErrorMessage="1" sqref="I27:R27" xr:uid="{717489E0-CC8F-4AFC-83F0-0A7820DCFAB4}">
      <formula1>$V$23:$V$25</formula1>
    </dataValidation>
    <dataValidation type="list" allowBlank="1" showInputMessage="1" showErrorMessage="1" sqref="I16:N16" xr:uid="{9AF33392-8281-410B-BEF2-453BA0FB1392}">
      <formula1>"Odbiór osobisty w Demos Katowice,Dostawa na adres"</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359B762-CDC5-4D90-8BEB-230733FCBD55}">
            <xm:f>Hlavní!V39=3</xm:f>
            <x14:dxf>
              <fill>
                <patternFill>
                  <bgColor theme="3"/>
                </patternFill>
              </fill>
            </x14:dxf>
          </x14:cfRule>
          <xm:sqref>C16:G16</xm:sqref>
        </x14:conditionalFormatting>
        <x14:conditionalFormatting xmlns:xm="http://schemas.microsoft.com/office/excel/2006/main">
          <x14:cfRule type="expression" priority="9" id="{437E2C2F-1FA3-4CE7-BB92-7D7E5B329E05}">
            <xm:f>Hlavní!V39=3</xm:f>
            <x14:dxf>
              <fill>
                <patternFill>
                  <bgColor theme="2"/>
                </patternFill>
              </fill>
            </x14:dxf>
          </x14:cfRule>
          <xm:sqref>H16</xm:sqref>
        </x14:conditionalFormatting>
        <x14:conditionalFormatting xmlns:xm="http://schemas.microsoft.com/office/excel/2006/main">
          <x14:cfRule type="expression" priority="10" id="{934C97F5-DFF6-4CD0-91DB-1249D221EA5E}">
            <xm:f>Hlavní!V39=3</xm:f>
            <x14:dxf>
              <font>
                <color theme="0"/>
              </font>
              <fill>
                <patternFill>
                  <bgColor rgb="FF009EE0"/>
                </patternFill>
              </fill>
            </x14:dxf>
          </x14:cfRule>
          <xm:sqref>I16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topLeftCell="C1" workbookViewId="0">
      <selection activeCell="D7" sqref="D7"/>
    </sheetView>
  </sheetViews>
  <sheetFormatPr defaultColWidth="15.5703125" defaultRowHeight="16.350000000000001" customHeight="1"/>
  <cols>
    <col min="1" max="2" width="31.5703125" style="168" bestFit="1" customWidth="1"/>
    <col min="3" max="3" width="14" style="168" bestFit="1" customWidth="1"/>
    <col min="4" max="4" width="43.42578125" style="168" customWidth="1"/>
    <col min="5" max="5" width="29.5703125" style="168" bestFit="1" customWidth="1"/>
    <col min="6" max="6" width="11.5703125" style="168" bestFit="1" customWidth="1"/>
    <col min="7" max="7" width="54.42578125" style="168" bestFit="1" customWidth="1"/>
    <col min="8" max="23" width="22.5703125" style="169" customWidth="1"/>
    <col min="27" max="28" width="15.5703125" style="168"/>
    <col min="29" max="29" width="21.5703125" style="168" bestFit="1" customWidth="1"/>
    <col min="30" max="30" width="5.5703125" style="168" customWidth="1"/>
    <col min="31" max="31" width="36.140625" style="168" customWidth="1"/>
    <col min="32" max="16384" width="15.5703125" style="168"/>
  </cols>
  <sheetData>
    <row r="1" spans="1:31" s="166" customFormat="1" ht="16.350000000000001" customHeight="1">
      <c r="A1" s="166" t="s">
        <v>2037</v>
      </c>
      <c r="B1" s="166" t="s">
        <v>2038</v>
      </c>
      <c r="C1" s="166" t="s">
        <v>2039</v>
      </c>
      <c r="E1" s="166" t="s">
        <v>2040</v>
      </c>
      <c r="F1" s="166" t="s">
        <v>353</v>
      </c>
      <c r="G1" s="166" t="s">
        <v>2051</v>
      </c>
      <c r="H1" s="167" t="s">
        <v>2041</v>
      </c>
      <c r="I1" s="167" t="s">
        <v>2042</v>
      </c>
      <c r="J1" s="167" t="s">
        <v>2043</v>
      </c>
      <c r="K1" s="167" t="str">
        <f>'Translate&amp;Prices&amp;Logo'!$B$628</f>
        <v>cross screw</v>
      </c>
      <c r="L1" s="167">
        <v>6</v>
      </c>
      <c r="M1" s="167" t="str">
        <f>'Translate&amp;Prices&amp;Logo'!$B$629</f>
        <v>on screw (w/ cam adjust)</v>
      </c>
      <c r="N1" s="167">
        <v>8</v>
      </c>
      <c r="O1" s="167" t="str">
        <f>'Translate&amp;Prices&amp;Logo'!$B$630</f>
        <v>euroscrew</v>
      </c>
      <c r="P1" s="167">
        <v>10</v>
      </c>
      <c r="Q1" s="167" t="str">
        <f>'Translate&amp;Prices&amp;Logo'!$B$631</f>
        <v>expando</v>
      </c>
      <c r="R1" s="167">
        <v>12</v>
      </c>
      <c r="S1" s="167" t="str">
        <f>'Translate&amp;Prices&amp;Logo'!$B$632</f>
        <v>direct screw</v>
      </c>
      <c r="T1" s="167">
        <v>14</v>
      </c>
      <c r="U1" s="167" t="str">
        <f>'Translate&amp;Prices&amp;Logo'!$B$633</f>
        <v>direct euroscrew</v>
      </c>
      <c r="V1" s="167">
        <v>16</v>
      </c>
      <c r="W1" s="167" t="str">
        <f>'Translate&amp;Prices&amp;Logo'!$B$634</f>
        <v>direct expando</v>
      </c>
      <c r="X1" s="166">
        <v>18</v>
      </c>
      <c r="AC1" s="167" t="str">
        <f>$K$1</f>
        <v>cross screw</v>
      </c>
      <c r="AD1" s="312">
        <v>6</v>
      </c>
      <c r="AE1" s="166" t="e">
        <f>VLOOKUP(Ram_1!$H$15,$G:$X,AD1,0)</f>
        <v>#N/A</v>
      </c>
    </row>
    <row r="2" spans="1:31" ht="16.350000000000001" customHeight="1">
      <c r="A2" s="173" t="s">
        <v>2044</v>
      </c>
      <c r="B2" s="173" t="s">
        <v>2</v>
      </c>
      <c r="C2" s="173" t="str">
        <f>'Translate&amp;Prices&amp;Logo'!B553</f>
        <v>Overlay</v>
      </c>
      <c r="D2" s="166" t="str">
        <f>VLOOKUP(CONCATENATE(A2,"_",B2,"_",C2),$A$69:$B$383,2,0)</f>
        <v>úzký_BLUM_Naložený</v>
      </c>
      <c r="E2" s="173" t="str">
        <f>'Translate&amp;Prices&amp;Logo'!$B$582</f>
        <v>with spring and damping</v>
      </c>
      <c r="F2" s="168" t="str">
        <f>'Translate&amp;Prices&amp;Logo'!$B$585</f>
        <v>silver</v>
      </c>
      <c r="G2" s="168" t="str">
        <f>CONCATENATE(H2," ","-"," ",C2," ",E2," - ",F2)</f>
        <v>118033 - Overlay with spring and damping - silver</v>
      </c>
      <c r="H2" s="169">
        <v>118033</v>
      </c>
      <c r="I2" s="169" t="s">
        <v>2046</v>
      </c>
      <c r="J2" s="169" t="s">
        <v>2046</v>
      </c>
      <c r="K2" s="169">
        <v>12306</v>
      </c>
      <c r="L2" s="169" t="str">
        <f>CONCATENATE($K$1," - ",K2)</f>
        <v>cross screw - 12306</v>
      </c>
      <c r="M2" s="169" t="s">
        <v>3090</v>
      </c>
      <c r="N2" s="169" t="str">
        <f>CONCATENATE($M$1," - ",M2)</f>
        <v>on screw (w/ cam adjust) - N/A</v>
      </c>
      <c r="O2" s="169">
        <v>12318</v>
      </c>
      <c r="P2" s="169" t="str">
        <f>CONCATENATE($O$1," - ",O2)</f>
        <v>euroscrew - 12318</v>
      </c>
      <c r="Q2" s="169">
        <v>12302</v>
      </c>
      <c r="R2" s="169" t="str">
        <f>CONCATENATE($Q$1," - ",Q2)</f>
        <v>expando - 12302</v>
      </c>
      <c r="S2" s="169">
        <v>203387</v>
      </c>
      <c r="T2" s="169" t="str">
        <f>CONCATENATE($S$1," - ",S2)</f>
        <v>direct screw - 203387</v>
      </c>
      <c r="U2" s="169">
        <v>346624</v>
      </c>
      <c r="V2" s="169" t="str">
        <f>CONCATENATE($U$1," - ",U2)</f>
        <v>direct euroscrew - 346624</v>
      </c>
      <c r="W2" s="169">
        <v>211476</v>
      </c>
      <c r="X2" s="169" t="str">
        <f>CONCATENATE($W$1," - ",W2)</f>
        <v>direct expando - 211476</v>
      </c>
      <c r="Y2" s="168"/>
      <c r="Z2" s="168"/>
      <c r="AC2" s="167" t="str">
        <f>$M$1</f>
        <v>on screw (w/ cam adjust)</v>
      </c>
      <c r="AD2" s="168">
        <v>8</v>
      </c>
      <c r="AE2" s="166" t="e">
        <f>VLOOKUP(Ram_1!$H$15,$G:$X,AD2,0)</f>
        <v>#N/A</v>
      </c>
    </row>
    <row r="3" spans="1:31" ht="16.350000000000001" customHeight="1">
      <c r="A3" s="173" t="s">
        <v>2044</v>
      </c>
      <c r="B3" s="173" t="s">
        <v>2</v>
      </c>
      <c r="C3" s="173" t="str">
        <f>'Translate&amp;Prices&amp;Logo'!B553</f>
        <v>Overlay</v>
      </c>
      <c r="D3" s="166" t="str">
        <f t="shared" ref="D3:D66" si="0">VLOOKUP(CONCATENATE(A3,"_",B3,"_",C3),$A$69:$B$383,2,0)</f>
        <v>úzký_BLUM_Naložený</v>
      </c>
      <c r="E3" s="173" t="str">
        <f>'Translate&amp;Prices&amp;Logo'!$B$583</f>
        <v>without damping</v>
      </c>
      <c r="F3" s="168" t="str">
        <f>'Translate&amp;Prices&amp;Logo'!$B$585</f>
        <v>silver</v>
      </c>
      <c r="G3" s="168" t="str">
        <f t="shared" ref="G3:G20" si="1">CONCATENATE(H3," ","-"," ",C3," ",E3," - ",F3)</f>
        <v>12106 - Overlay without damping - silver</v>
      </c>
      <c r="H3" s="169">
        <v>12106</v>
      </c>
      <c r="I3" s="169" t="s">
        <v>2046</v>
      </c>
      <c r="J3" s="169" t="s">
        <v>2046</v>
      </c>
      <c r="K3" s="169">
        <v>12306</v>
      </c>
      <c r="L3" s="169" t="str">
        <f t="shared" ref="L3:L66" si="2">CONCATENATE($K$1," - ",K3)</f>
        <v>cross screw - 12306</v>
      </c>
      <c r="M3" s="169" t="s">
        <v>3090</v>
      </c>
      <c r="N3" s="169" t="str">
        <f t="shared" ref="N3:N66" si="3">CONCATENATE($M$1," - ",M3)</f>
        <v>on screw (w/ cam adjust) - N/A</v>
      </c>
      <c r="O3" s="169">
        <v>12318</v>
      </c>
      <c r="P3" s="169" t="str">
        <f t="shared" ref="P3:P66" si="4">CONCATENATE($O$1," - ",O3)</f>
        <v>euroscrew - 12318</v>
      </c>
      <c r="Q3" s="169">
        <v>12302</v>
      </c>
      <c r="R3" s="169" t="str">
        <f t="shared" ref="R3:R66" si="5">CONCATENATE($Q$1," - ",Q3)</f>
        <v>expando - 12302</v>
      </c>
      <c r="S3" s="169">
        <v>203387</v>
      </c>
      <c r="T3" s="169" t="str">
        <f t="shared" ref="T3:T66" si="6">CONCATENATE($S$1," - ",S3)</f>
        <v>direct screw - 203387</v>
      </c>
      <c r="U3" s="169">
        <v>346624</v>
      </c>
      <c r="V3" s="169" t="str">
        <f t="shared" ref="V3:V66" si="7">CONCATENATE($U$1," - ",U3)</f>
        <v>direct euroscrew - 346624</v>
      </c>
      <c r="W3" s="169">
        <v>211476</v>
      </c>
      <c r="X3" s="169" t="str">
        <f t="shared" ref="X3:X66" si="8">CONCATENATE($W$1," - ",W3)</f>
        <v>direct expando - 211476</v>
      </c>
      <c r="Y3" s="168"/>
      <c r="Z3" s="168"/>
      <c r="AC3" s="167" t="str">
        <f>$O$1</f>
        <v>euroscrew</v>
      </c>
      <c r="AD3" s="312">
        <v>10</v>
      </c>
      <c r="AE3" s="166" t="e">
        <f>VLOOKUP(Ram_1!$H$15,$G:$X,AD3,0)</f>
        <v>#N/A</v>
      </c>
    </row>
    <row r="4" spans="1:31" ht="16.350000000000001" customHeight="1">
      <c r="A4" s="173" t="s">
        <v>2044</v>
      </c>
      <c r="B4" s="173" t="s">
        <v>2</v>
      </c>
      <c r="C4" s="173" t="str">
        <f>'Translate&amp;Prices&amp;Logo'!B553</f>
        <v>Overlay</v>
      </c>
      <c r="D4" s="166" t="str">
        <f t="shared" si="0"/>
        <v>úzký_BLUM_Naložený</v>
      </c>
      <c r="E4" s="173" t="str">
        <f>'Translate&amp;Prices&amp;Logo'!$B$583</f>
        <v>without damping</v>
      </c>
      <c r="F4" s="168" t="s">
        <v>3602</v>
      </c>
      <c r="G4" s="168" t="str">
        <f t="shared" si="1"/>
        <v>306329 - Overlay without damping - onyx</v>
      </c>
      <c r="H4" s="169">
        <v>306329</v>
      </c>
      <c r="I4" s="169" t="s">
        <v>2046</v>
      </c>
      <c r="J4" s="169" t="s">
        <v>2046</v>
      </c>
      <c r="K4" s="169">
        <v>458360</v>
      </c>
      <c r="L4" s="169" t="str">
        <f t="shared" si="2"/>
        <v>cross screw - 458360</v>
      </c>
      <c r="M4" s="169" t="s">
        <v>3090</v>
      </c>
      <c r="N4" s="169" t="str">
        <f t="shared" si="3"/>
        <v>on screw (w/ cam adjust) - N/A</v>
      </c>
      <c r="O4" s="169" t="s">
        <v>3090</v>
      </c>
      <c r="P4" s="169" t="str">
        <f t="shared" si="4"/>
        <v>euroscrew - N/A</v>
      </c>
      <c r="Q4" s="169">
        <v>347124</v>
      </c>
      <c r="R4" s="169" t="str">
        <f t="shared" si="5"/>
        <v>expando - 347124</v>
      </c>
      <c r="S4" s="169">
        <v>306320</v>
      </c>
      <c r="T4" s="169" t="str">
        <f t="shared" si="6"/>
        <v>direct screw - 306320</v>
      </c>
      <c r="U4" s="169" t="s">
        <v>3090</v>
      </c>
      <c r="V4" s="169" t="str">
        <f t="shared" si="7"/>
        <v>direct euroscrew - N/A</v>
      </c>
      <c r="W4" s="169">
        <v>409651</v>
      </c>
      <c r="X4" s="169" t="str">
        <f t="shared" si="8"/>
        <v>direct expando - 409651</v>
      </c>
      <c r="Y4" s="168"/>
      <c r="Z4" s="168"/>
      <c r="AC4" s="167" t="str">
        <f>$Q$1</f>
        <v>expando</v>
      </c>
      <c r="AD4" s="168">
        <v>12</v>
      </c>
      <c r="AE4" s="166" t="e">
        <f>VLOOKUP(Ram_1!$H$15,$G:$X,AD4,0)</f>
        <v>#N/A</v>
      </c>
    </row>
    <row r="5" spans="1:31" ht="16.350000000000001" customHeight="1">
      <c r="A5" s="173" t="s">
        <v>2044</v>
      </c>
      <c r="B5" s="173" t="s">
        <v>2</v>
      </c>
      <c r="C5" s="173" t="str">
        <f>'Translate&amp;Prices&amp;Logo'!B553</f>
        <v>Overlay</v>
      </c>
      <c r="D5" s="166" t="str">
        <f t="shared" si="0"/>
        <v>úzký_BLUM_Naložený</v>
      </c>
      <c r="E5" s="173" t="str">
        <f>'Translate&amp;Prices&amp;Logo'!$B$584</f>
        <v>tip-on without spring / damping</v>
      </c>
      <c r="F5" s="168" t="str">
        <f>'Translate&amp;Prices&amp;Logo'!$B$585</f>
        <v>silver</v>
      </c>
      <c r="G5" s="168" t="str">
        <f t="shared" si="1"/>
        <v>12109 - Overlay tip-on without spring / damping - silver</v>
      </c>
      <c r="H5" s="169">
        <v>12109</v>
      </c>
      <c r="I5" s="169" t="s">
        <v>2046</v>
      </c>
      <c r="J5" s="169">
        <v>13764</v>
      </c>
      <c r="K5" s="169">
        <v>12306</v>
      </c>
      <c r="L5" s="169" t="str">
        <f t="shared" si="2"/>
        <v>cross screw - 12306</v>
      </c>
      <c r="M5" s="169" t="s">
        <v>3090</v>
      </c>
      <c r="N5" s="169" t="str">
        <f t="shared" si="3"/>
        <v>on screw (w/ cam adjust) - N/A</v>
      </c>
      <c r="O5" s="169">
        <v>12318</v>
      </c>
      <c r="P5" s="169" t="str">
        <f t="shared" si="4"/>
        <v>euroscrew - 12318</v>
      </c>
      <c r="Q5" s="169">
        <v>12302</v>
      </c>
      <c r="R5" s="169" t="str">
        <f t="shared" si="5"/>
        <v>expando - 12302</v>
      </c>
      <c r="S5" s="169">
        <v>203387</v>
      </c>
      <c r="T5" s="169" t="str">
        <f t="shared" si="6"/>
        <v>direct screw - 203387</v>
      </c>
      <c r="U5" s="169">
        <v>346624</v>
      </c>
      <c r="V5" s="169" t="str">
        <f t="shared" si="7"/>
        <v>direct euroscrew - 346624</v>
      </c>
      <c r="W5" s="169">
        <v>211476</v>
      </c>
      <c r="X5" s="169" t="str">
        <f t="shared" si="8"/>
        <v>direct expando - 211476</v>
      </c>
      <c r="Y5" s="168"/>
      <c r="Z5" s="168"/>
      <c r="AC5" s="167" t="str">
        <f>$S$1</f>
        <v>direct screw</v>
      </c>
      <c r="AD5" s="312">
        <v>14</v>
      </c>
      <c r="AE5" s="166" t="e">
        <f>VLOOKUP(Ram_1!$H$15,$G:$X,AD5,0)</f>
        <v>#N/A</v>
      </c>
    </row>
    <row r="6" spans="1:31" ht="16.350000000000001" customHeight="1">
      <c r="A6" s="173" t="s">
        <v>2044</v>
      </c>
      <c r="B6" s="173" t="s">
        <v>2</v>
      </c>
      <c r="C6" s="173" t="str">
        <f>'Translate&amp;Prices&amp;Logo'!B553</f>
        <v>Overlay</v>
      </c>
      <c r="D6" s="166" t="str">
        <f t="shared" ref="D6" si="9">VLOOKUP(CONCATENATE(A6,"_",B6,"_",C6),$A$69:$B$383,2,0)</f>
        <v>úzký_BLUM_Naložený</v>
      </c>
      <c r="E6" s="173" t="str">
        <f>'Translate&amp;Prices&amp;Logo'!$B$584</f>
        <v>tip-on without spring / damping</v>
      </c>
      <c r="F6" s="168" t="s">
        <v>3602</v>
      </c>
      <c r="G6" s="168" t="str">
        <f t="shared" si="1"/>
        <v>497120 - Overlay tip-on without spring / damping - onyx</v>
      </c>
      <c r="H6" s="169">
        <v>497120</v>
      </c>
      <c r="Q6" s="169">
        <v>347124</v>
      </c>
      <c r="R6" s="169" t="str">
        <f t="shared" si="5"/>
        <v>expando - 347124</v>
      </c>
      <c r="S6" s="169">
        <v>306320</v>
      </c>
      <c r="T6" s="169" t="str">
        <f>CONCATENATE($S$1," - ",S6)</f>
        <v>direct screw - 306320</v>
      </c>
      <c r="X6" s="169"/>
      <c r="Y6" s="168"/>
      <c r="Z6" s="168"/>
      <c r="AC6" s="167"/>
      <c r="AD6" s="312"/>
      <c r="AE6" s="166"/>
    </row>
    <row r="7" spans="1:31" ht="16.350000000000001" customHeight="1">
      <c r="A7" s="168" t="s">
        <v>2044</v>
      </c>
      <c r="B7" s="168" t="s">
        <v>2</v>
      </c>
      <c r="C7" s="168" t="str">
        <f>'Translate&amp;Prices&amp;Logo'!B554</f>
        <v>Half-overlay</v>
      </c>
      <c r="D7" s="166" t="str">
        <f t="shared" si="0"/>
        <v>úzký_BLUM_Polonaložený</v>
      </c>
      <c r="E7" s="168" t="str">
        <f>'Translate&amp;Prices&amp;Logo'!$B$582</f>
        <v>with spring and damping</v>
      </c>
      <c r="F7" s="168" t="str">
        <f>'Translate&amp;Prices&amp;Logo'!$B$585</f>
        <v>silver</v>
      </c>
      <c r="G7" s="168" t="str">
        <f t="shared" si="1"/>
        <v>118120 - Half-overlay with spring and damping - silver</v>
      </c>
      <c r="H7" s="169">
        <v>118120</v>
      </c>
      <c r="I7" s="169" t="s">
        <v>2046</v>
      </c>
      <c r="J7" s="169" t="s">
        <v>2046</v>
      </c>
      <c r="K7" s="169">
        <v>12306</v>
      </c>
      <c r="L7" s="169" t="str">
        <f t="shared" si="2"/>
        <v>cross screw - 12306</v>
      </c>
      <c r="M7" s="169" t="s">
        <v>3090</v>
      </c>
      <c r="N7" s="169" t="str">
        <f t="shared" si="3"/>
        <v>on screw (w/ cam adjust) - N/A</v>
      </c>
      <c r="O7" s="169">
        <v>12318</v>
      </c>
      <c r="P7" s="169" t="str">
        <f t="shared" si="4"/>
        <v>euroscrew - 12318</v>
      </c>
      <c r="Q7" s="169">
        <v>12302</v>
      </c>
      <c r="R7" s="169" t="str">
        <f t="shared" si="5"/>
        <v>expando - 12302</v>
      </c>
      <c r="S7" s="169">
        <v>203387</v>
      </c>
      <c r="T7" s="169" t="str">
        <f t="shared" si="6"/>
        <v>direct screw - 203387</v>
      </c>
      <c r="U7" s="169">
        <v>346624</v>
      </c>
      <c r="V7" s="169" t="str">
        <f t="shared" si="7"/>
        <v>direct euroscrew - 346624</v>
      </c>
      <c r="W7" s="169">
        <v>211476</v>
      </c>
      <c r="X7" s="169" t="str">
        <f t="shared" si="8"/>
        <v>direct expando - 211476</v>
      </c>
      <c r="Y7" s="168"/>
      <c r="Z7" s="168"/>
      <c r="AC7" s="167" t="str">
        <f>$U$1</f>
        <v>direct euroscrew</v>
      </c>
      <c r="AD7" s="168">
        <v>16</v>
      </c>
      <c r="AE7" s="166" t="e">
        <f>VLOOKUP(Ram_1!$H$15,$G:$X,AD7,0)</f>
        <v>#N/A</v>
      </c>
    </row>
    <row r="8" spans="1:31" ht="16.350000000000001" customHeight="1">
      <c r="A8" s="168" t="s">
        <v>2044</v>
      </c>
      <c r="B8" s="168" t="s">
        <v>2</v>
      </c>
      <c r="C8" s="168" t="str">
        <f>'Translate&amp;Prices&amp;Logo'!B554</f>
        <v>Half-overlay</v>
      </c>
      <c r="D8" s="166" t="str">
        <f t="shared" si="0"/>
        <v>úzký_BLUM_Polonaložený</v>
      </c>
      <c r="E8" s="168" t="str">
        <f>'Translate&amp;Prices&amp;Logo'!$B$583</f>
        <v>without damping</v>
      </c>
      <c r="F8" s="168" t="str">
        <f>'Translate&amp;Prices&amp;Logo'!$B$585</f>
        <v>silver</v>
      </c>
      <c r="G8" s="168" t="str">
        <f t="shared" si="1"/>
        <v>12107 - Half-overlay without damping - silver</v>
      </c>
      <c r="H8" s="169">
        <v>12107</v>
      </c>
      <c r="I8" s="169" t="s">
        <v>2046</v>
      </c>
      <c r="J8" s="169" t="s">
        <v>2046</v>
      </c>
      <c r="K8" s="169">
        <v>12306</v>
      </c>
      <c r="L8" s="169" t="str">
        <f t="shared" si="2"/>
        <v>cross screw - 12306</v>
      </c>
      <c r="M8" s="169" t="s">
        <v>3090</v>
      </c>
      <c r="N8" s="169" t="str">
        <f t="shared" si="3"/>
        <v>on screw (w/ cam adjust) - N/A</v>
      </c>
      <c r="O8" s="169">
        <v>12318</v>
      </c>
      <c r="P8" s="169" t="str">
        <f t="shared" si="4"/>
        <v>euroscrew - 12318</v>
      </c>
      <c r="Q8" s="169">
        <v>12302</v>
      </c>
      <c r="R8" s="169" t="str">
        <f t="shared" si="5"/>
        <v>expando - 12302</v>
      </c>
      <c r="S8" s="169">
        <v>203387</v>
      </c>
      <c r="T8" s="169" t="str">
        <f t="shared" si="6"/>
        <v>direct screw - 203387</v>
      </c>
      <c r="U8" s="169">
        <v>346624</v>
      </c>
      <c r="V8" s="169" t="str">
        <f t="shared" si="7"/>
        <v>direct euroscrew - 346624</v>
      </c>
      <c r="W8" s="169">
        <v>211476</v>
      </c>
      <c r="X8" s="169" t="str">
        <f t="shared" si="8"/>
        <v>direct expando - 211476</v>
      </c>
      <c r="Y8" s="168"/>
      <c r="Z8" s="168"/>
      <c r="AC8" s="167" t="str">
        <f>$W$1</f>
        <v>direct expando</v>
      </c>
      <c r="AD8" s="312">
        <v>18</v>
      </c>
      <c r="AE8" s="166" t="e">
        <f>VLOOKUP(Ram_1!$H$15,$G:$X,AD8,0)</f>
        <v>#N/A</v>
      </c>
    </row>
    <row r="9" spans="1:31" ht="16.350000000000001" customHeight="1">
      <c r="A9" s="173" t="s">
        <v>2044</v>
      </c>
      <c r="B9" s="173" t="s">
        <v>2</v>
      </c>
      <c r="C9" s="173" t="str">
        <f>'Translate&amp;Prices&amp;Logo'!B555</f>
        <v>Inset</v>
      </c>
      <c r="D9" s="166" t="str">
        <f t="shared" si="0"/>
        <v>úzký_BLUM_Vložený</v>
      </c>
      <c r="E9" s="173" t="str">
        <f>'Translate&amp;Prices&amp;Logo'!$B$582</f>
        <v>with spring and damping</v>
      </c>
      <c r="F9" s="168" t="str">
        <f>'Translate&amp;Prices&amp;Logo'!$B$585</f>
        <v>silver</v>
      </c>
      <c r="G9" s="168" t="str">
        <f t="shared" si="1"/>
        <v>118121 - Inset with spring and damping - silver</v>
      </c>
      <c r="H9" s="169">
        <v>118121</v>
      </c>
      <c r="I9" s="169" t="s">
        <v>2046</v>
      </c>
      <c r="J9" s="169" t="s">
        <v>2046</v>
      </c>
      <c r="K9" s="169">
        <v>12306</v>
      </c>
      <c r="L9" s="169" t="str">
        <f t="shared" si="2"/>
        <v>cross screw - 12306</v>
      </c>
      <c r="M9" s="169" t="s">
        <v>3090</v>
      </c>
      <c r="N9" s="169" t="str">
        <f t="shared" si="3"/>
        <v>on screw (w/ cam adjust) - N/A</v>
      </c>
      <c r="O9" s="169">
        <v>12318</v>
      </c>
      <c r="P9" s="169" t="str">
        <f t="shared" si="4"/>
        <v>euroscrew - 12318</v>
      </c>
      <c r="Q9" s="169">
        <v>12302</v>
      </c>
      <c r="R9" s="169" t="str">
        <f t="shared" si="5"/>
        <v>expando - 12302</v>
      </c>
      <c r="S9" s="169">
        <v>203387</v>
      </c>
      <c r="T9" s="169" t="str">
        <f t="shared" si="6"/>
        <v>direct screw - 203387</v>
      </c>
      <c r="U9" s="169">
        <v>346624</v>
      </c>
      <c r="V9" s="169" t="str">
        <f t="shared" si="7"/>
        <v>direct euroscrew - 346624</v>
      </c>
      <c r="W9" s="169">
        <v>211476</v>
      </c>
      <c r="X9" s="169" t="str">
        <f t="shared" si="8"/>
        <v>direct expando - 211476</v>
      </c>
      <c r="Y9" s="168"/>
      <c r="Z9" s="168"/>
    </row>
    <row r="10" spans="1:31" ht="15">
      <c r="A10" s="173" t="s">
        <v>2044</v>
      </c>
      <c r="B10" s="173" t="s">
        <v>2</v>
      </c>
      <c r="C10" s="173" t="str">
        <f>'Translate&amp;Prices&amp;Logo'!B555</f>
        <v>Inset</v>
      </c>
      <c r="D10" s="166" t="str">
        <f t="shared" si="0"/>
        <v>úzký_BLUM_Vložený</v>
      </c>
      <c r="E10" s="173" t="str">
        <f>'Translate&amp;Prices&amp;Logo'!$B$583</f>
        <v>without damping</v>
      </c>
      <c r="F10" s="168" t="str">
        <f>'Translate&amp;Prices&amp;Logo'!$B$585</f>
        <v>silver</v>
      </c>
      <c r="G10" s="168" t="str">
        <f t="shared" si="1"/>
        <v>12108 - Inset without damping - silver</v>
      </c>
      <c r="H10" s="169">
        <v>12108</v>
      </c>
      <c r="I10" s="169" t="s">
        <v>2046</v>
      </c>
      <c r="J10" s="169" t="s">
        <v>2046</v>
      </c>
      <c r="K10" s="169">
        <v>12306</v>
      </c>
      <c r="L10" s="169" t="str">
        <f t="shared" si="2"/>
        <v>cross screw - 12306</v>
      </c>
      <c r="M10" s="169" t="s">
        <v>3090</v>
      </c>
      <c r="N10" s="169" t="str">
        <f t="shared" si="3"/>
        <v>on screw (w/ cam adjust) - N/A</v>
      </c>
      <c r="O10" s="169">
        <v>12318</v>
      </c>
      <c r="P10" s="169" t="str">
        <f t="shared" si="4"/>
        <v>euroscrew - 12318</v>
      </c>
      <c r="Q10" s="169">
        <v>12302</v>
      </c>
      <c r="R10" s="169" t="str">
        <f t="shared" si="5"/>
        <v>expando - 12302</v>
      </c>
      <c r="S10" s="169">
        <v>203387</v>
      </c>
      <c r="T10" s="169" t="str">
        <f t="shared" si="6"/>
        <v>direct screw - 203387</v>
      </c>
      <c r="U10" s="169">
        <v>346624</v>
      </c>
      <c r="V10" s="169" t="str">
        <f t="shared" si="7"/>
        <v>direct euroscrew - 346624</v>
      </c>
      <c r="W10" s="169">
        <v>211476</v>
      </c>
      <c r="X10" s="169" t="str">
        <f t="shared" si="8"/>
        <v>direct expando - 211476</v>
      </c>
      <c r="Y10" s="168"/>
      <c r="Z10" s="168"/>
    </row>
    <row r="11" spans="1:31" ht="15">
      <c r="A11" s="168" t="s">
        <v>2044</v>
      </c>
      <c r="B11" s="168" t="s">
        <v>989</v>
      </c>
      <c r="C11" s="168" t="str">
        <f>'Translate&amp;Prices&amp;Logo'!B553</f>
        <v>Overlay</v>
      </c>
      <c r="D11" s="166" t="str">
        <f t="shared" si="0"/>
        <v>úzký_HETTICH_Naložený</v>
      </c>
      <c r="E11" s="168" t="str">
        <f>'Translate&amp;Prices&amp;Logo'!$B$582</f>
        <v>with spring and damping</v>
      </c>
      <c r="F11" s="168" t="str">
        <f>'Translate&amp;Prices&amp;Logo'!$B$585</f>
        <v>silver</v>
      </c>
      <c r="G11" s="168" t="str">
        <f t="shared" si="1"/>
        <v>300279 - Overlay with spring and damping - silver</v>
      </c>
      <c r="H11" s="169">
        <v>300279</v>
      </c>
      <c r="I11" s="169" t="s">
        <v>2046</v>
      </c>
      <c r="J11" s="169" t="s">
        <v>2046</v>
      </c>
      <c r="K11" s="169">
        <v>106403</v>
      </c>
      <c r="L11" s="169" t="str">
        <f t="shared" si="2"/>
        <v>cross screw - 106403</v>
      </c>
      <c r="M11" s="169" t="s">
        <v>3090</v>
      </c>
      <c r="N11" s="169" t="str">
        <f t="shared" si="3"/>
        <v>on screw (w/ cam adjust) - N/A</v>
      </c>
      <c r="O11" s="169">
        <v>119240</v>
      </c>
      <c r="P11" s="169" t="str">
        <f t="shared" si="4"/>
        <v>euroscrew - 119240</v>
      </c>
      <c r="Q11" s="169">
        <v>136276</v>
      </c>
      <c r="R11" s="169" t="str">
        <f t="shared" si="5"/>
        <v>expando - 136276</v>
      </c>
      <c r="S11" s="169">
        <v>300319</v>
      </c>
      <c r="T11" s="169" t="str">
        <f t="shared" si="6"/>
        <v>direct screw - 300319</v>
      </c>
      <c r="U11" s="169" t="s">
        <v>3090</v>
      </c>
      <c r="V11" s="169" t="str">
        <f t="shared" si="7"/>
        <v>direct euroscrew - N/A</v>
      </c>
      <c r="W11" s="169" t="s">
        <v>3090</v>
      </c>
      <c r="X11" s="169" t="str">
        <f t="shared" si="8"/>
        <v>direct expando - N/A</v>
      </c>
      <c r="Y11" s="168"/>
      <c r="Z11" s="168"/>
    </row>
    <row r="12" spans="1:31" ht="15">
      <c r="A12" s="168" t="s">
        <v>2044</v>
      </c>
      <c r="B12" s="168" t="s">
        <v>989</v>
      </c>
      <c r="C12" s="168" t="str">
        <f>'Translate&amp;Prices&amp;Logo'!B553</f>
        <v>Overlay</v>
      </c>
      <c r="D12" s="166" t="str">
        <f t="shared" si="0"/>
        <v>úzký_HETTICH_Naložený</v>
      </c>
      <c r="E12" s="168" t="str">
        <f>'Translate&amp;Prices&amp;Logo'!$B$582</f>
        <v>with spring and damping</v>
      </c>
      <c r="F12" s="168" t="str">
        <f>'Translate&amp;Prices&amp;Logo'!$B$586</f>
        <v>black</v>
      </c>
      <c r="G12" s="168" t="str">
        <f t="shared" si="1"/>
        <v>344697 - Overlay with spring and damping - black</v>
      </c>
      <c r="H12" s="169">
        <v>344697</v>
      </c>
      <c r="I12" s="169" t="s">
        <v>2046</v>
      </c>
      <c r="J12" s="169" t="s">
        <v>2046</v>
      </c>
      <c r="K12" s="169" t="s">
        <v>3090</v>
      </c>
      <c r="L12" s="169" t="str">
        <f t="shared" si="2"/>
        <v>cross screw - N/A</v>
      </c>
      <c r="M12" s="169" t="s">
        <v>3090</v>
      </c>
      <c r="N12" s="169" t="str">
        <f t="shared" si="3"/>
        <v>on screw (w/ cam adjust) - N/A</v>
      </c>
      <c r="O12" s="169">
        <v>344723</v>
      </c>
      <c r="P12" s="169" t="str">
        <f t="shared" si="4"/>
        <v>euroscrew - 344723</v>
      </c>
      <c r="Q12" s="169">
        <v>344727</v>
      </c>
      <c r="R12" s="169" t="str">
        <f t="shared" si="5"/>
        <v>expando - 344727</v>
      </c>
      <c r="S12" s="169">
        <v>397949</v>
      </c>
      <c r="T12" s="169" t="str">
        <f t="shared" si="6"/>
        <v>direct screw - 397949</v>
      </c>
      <c r="U12" s="169" t="s">
        <v>3090</v>
      </c>
      <c r="V12" s="169" t="str">
        <f t="shared" si="7"/>
        <v>direct euroscrew - N/A</v>
      </c>
      <c r="W12" s="169" t="s">
        <v>3090</v>
      </c>
      <c r="X12" s="169" t="str">
        <f t="shared" si="8"/>
        <v>direct expando - N/A</v>
      </c>
      <c r="Y12" s="168"/>
      <c r="Z12" s="168"/>
    </row>
    <row r="13" spans="1:31" ht="15">
      <c r="A13" s="168" t="s">
        <v>2044</v>
      </c>
      <c r="B13" s="168" t="s">
        <v>989</v>
      </c>
      <c r="C13" s="168" t="str">
        <f>'Translate&amp;Prices&amp;Logo'!B553</f>
        <v>Overlay</v>
      </c>
      <c r="D13" s="166" t="str">
        <f t="shared" si="0"/>
        <v>úzký_HETTICH_Naložený</v>
      </c>
      <c r="E13" s="168" t="str">
        <f>'Translate&amp;Prices&amp;Logo'!$B$583</f>
        <v>without damping</v>
      </c>
      <c r="F13" s="168" t="str">
        <f>'Translate&amp;Prices&amp;Logo'!$B$585</f>
        <v>silver</v>
      </c>
      <c r="G13" s="168" t="str">
        <f t="shared" si="1"/>
        <v>300282 - Overlay without damping - silver</v>
      </c>
      <c r="H13" s="169">
        <v>300282</v>
      </c>
      <c r="I13" s="169" t="s">
        <v>2046</v>
      </c>
      <c r="J13" s="169" t="s">
        <v>2046</v>
      </c>
      <c r="K13" s="169">
        <v>106403</v>
      </c>
      <c r="L13" s="169" t="str">
        <f t="shared" si="2"/>
        <v>cross screw - 106403</v>
      </c>
      <c r="M13" s="169" t="s">
        <v>3090</v>
      </c>
      <c r="N13" s="169" t="str">
        <f t="shared" si="3"/>
        <v>on screw (w/ cam adjust) - N/A</v>
      </c>
      <c r="O13" s="169">
        <v>119240</v>
      </c>
      <c r="P13" s="169" t="str">
        <f t="shared" si="4"/>
        <v>euroscrew - 119240</v>
      </c>
      <c r="Q13" s="169">
        <v>136276</v>
      </c>
      <c r="R13" s="169" t="str">
        <f t="shared" si="5"/>
        <v>expando - 136276</v>
      </c>
      <c r="S13" s="169">
        <v>300319</v>
      </c>
      <c r="T13" s="169" t="str">
        <f t="shared" si="6"/>
        <v>direct screw - 300319</v>
      </c>
      <c r="U13" s="169" t="s">
        <v>3090</v>
      </c>
      <c r="V13" s="169" t="str">
        <f t="shared" si="7"/>
        <v>direct euroscrew - N/A</v>
      </c>
      <c r="W13" s="169" t="s">
        <v>3090</v>
      </c>
      <c r="X13" s="169" t="str">
        <f t="shared" si="8"/>
        <v>direct expando - N/A</v>
      </c>
      <c r="Y13" s="168"/>
      <c r="Z13" s="168"/>
    </row>
    <row r="14" spans="1:31" ht="15">
      <c r="A14" s="168" t="s">
        <v>2044</v>
      </c>
      <c r="B14" s="168" t="s">
        <v>989</v>
      </c>
      <c r="C14" s="168" t="str">
        <f>'Translate&amp;Prices&amp;Logo'!B553</f>
        <v>Overlay</v>
      </c>
      <c r="D14" s="166" t="str">
        <f t="shared" si="0"/>
        <v>úzký_HETTICH_Naložený</v>
      </c>
      <c r="E14" s="168" t="str">
        <f>'Translate&amp;Prices&amp;Logo'!$B$584</f>
        <v>tip-on without spring / damping</v>
      </c>
      <c r="F14" s="168" t="str">
        <f>'Translate&amp;Prices&amp;Logo'!$B$585</f>
        <v>silver</v>
      </c>
      <c r="G14" s="168" t="str">
        <f t="shared" si="1"/>
        <v>300285 - Overlay tip-on without spring / damping - silver</v>
      </c>
      <c r="H14" s="169">
        <v>300285</v>
      </c>
      <c r="I14" s="169" t="s">
        <v>2046</v>
      </c>
      <c r="J14" s="169" t="s">
        <v>2046</v>
      </c>
      <c r="K14" s="169">
        <v>106403</v>
      </c>
      <c r="L14" s="169" t="str">
        <f t="shared" si="2"/>
        <v>cross screw - 106403</v>
      </c>
      <c r="M14" s="169" t="s">
        <v>3090</v>
      </c>
      <c r="N14" s="169" t="str">
        <f t="shared" si="3"/>
        <v>on screw (w/ cam adjust) - N/A</v>
      </c>
      <c r="O14" s="169">
        <v>119240</v>
      </c>
      <c r="P14" s="169" t="str">
        <f t="shared" si="4"/>
        <v>euroscrew - 119240</v>
      </c>
      <c r="Q14" s="169">
        <v>136276</v>
      </c>
      <c r="R14" s="169" t="str">
        <f t="shared" si="5"/>
        <v>expando - 136276</v>
      </c>
      <c r="S14" s="169">
        <v>300319</v>
      </c>
      <c r="T14" s="169" t="str">
        <f t="shared" si="6"/>
        <v>direct screw - 300319</v>
      </c>
      <c r="U14" s="169" t="s">
        <v>3090</v>
      </c>
      <c r="V14" s="169" t="str">
        <f t="shared" si="7"/>
        <v>direct euroscrew - N/A</v>
      </c>
      <c r="W14" s="169" t="s">
        <v>3090</v>
      </c>
      <c r="X14" s="169" t="str">
        <f t="shared" si="8"/>
        <v>direct expando - N/A</v>
      </c>
      <c r="Y14" s="168"/>
      <c r="Z14" s="168"/>
    </row>
    <row r="15" spans="1:31" ht="15">
      <c r="A15" s="173" t="s">
        <v>2044</v>
      </c>
      <c r="B15" s="173" t="s">
        <v>989</v>
      </c>
      <c r="C15" s="173" t="str">
        <f>'Translate&amp;Prices&amp;Logo'!B554</f>
        <v>Half-overlay</v>
      </c>
      <c r="D15" s="166" t="str">
        <f t="shared" si="0"/>
        <v>úzký_HETTICH_Polonaložený</v>
      </c>
      <c r="E15" s="173" t="str">
        <f>'Translate&amp;Prices&amp;Logo'!$B$582</f>
        <v>with spring and damping</v>
      </c>
      <c r="F15" s="168" t="str">
        <f>'Translate&amp;Prices&amp;Logo'!$B$585</f>
        <v>silver</v>
      </c>
      <c r="G15" s="168" t="str">
        <f t="shared" si="1"/>
        <v>300280 - Half-overlay with spring and damping - silver</v>
      </c>
      <c r="H15" s="169">
        <v>300280</v>
      </c>
      <c r="I15" s="169" t="s">
        <v>2046</v>
      </c>
      <c r="J15" s="169" t="s">
        <v>2046</v>
      </c>
      <c r="K15" s="169">
        <v>106403</v>
      </c>
      <c r="L15" s="169" t="str">
        <f t="shared" si="2"/>
        <v>cross screw - 106403</v>
      </c>
      <c r="M15" s="169" t="s">
        <v>3090</v>
      </c>
      <c r="N15" s="169" t="str">
        <f t="shared" si="3"/>
        <v>on screw (w/ cam adjust) - N/A</v>
      </c>
      <c r="O15" s="169">
        <v>119240</v>
      </c>
      <c r="P15" s="169" t="str">
        <f t="shared" si="4"/>
        <v>euroscrew - 119240</v>
      </c>
      <c r="Q15" s="169">
        <v>136276</v>
      </c>
      <c r="R15" s="169" t="str">
        <f t="shared" si="5"/>
        <v>expando - 136276</v>
      </c>
      <c r="S15" s="169">
        <v>300319</v>
      </c>
      <c r="T15" s="169" t="str">
        <f t="shared" si="6"/>
        <v>direct screw - 300319</v>
      </c>
      <c r="U15" s="169" t="s">
        <v>3090</v>
      </c>
      <c r="V15" s="169" t="str">
        <f t="shared" si="7"/>
        <v>direct euroscrew - N/A</v>
      </c>
      <c r="W15" s="169" t="s">
        <v>3090</v>
      </c>
      <c r="X15" s="169" t="str">
        <f t="shared" si="8"/>
        <v>direct expando - N/A</v>
      </c>
      <c r="Y15" s="168"/>
      <c r="Z15" s="168"/>
    </row>
    <row r="16" spans="1:31" ht="15">
      <c r="A16" s="173" t="s">
        <v>2044</v>
      </c>
      <c r="B16" s="173" t="s">
        <v>989</v>
      </c>
      <c r="C16" s="173" t="str">
        <f>'Translate&amp;Prices&amp;Logo'!B554</f>
        <v>Half-overlay</v>
      </c>
      <c r="D16" s="166" t="str">
        <f t="shared" si="0"/>
        <v>úzký_HETTICH_Polonaložený</v>
      </c>
      <c r="E16" s="173" t="str">
        <f>'Translate&amp;Prices&amp;Logo'!$B$583</f>
        <v>without damping</v>
      </c>
      <c r="F16" s="168" t="str">
        <f>'Translate&amp;Prices&amp;Logo'!$B$585</f>
        <v>silver</v>
      </c>
      <c r="G16" s="168" t="str">
        <f t="shared" si="1"/>
        <v>300283 - Half-overlay without damping - silver</v>
      </c>
      <c r="H16" s="169">
        <v>300283</v>
      </c>
      <c r="I16" s="169" t="s">
        <v>2046</v>
      </c>
      <c r="J16" s="169" t="s">
        <v>2046</v>
      </c>
      <c r="K16" s="169">
        <v>106403</v>
      </c>
      <c r="L16" s="169" t="str">
        <f t="shared" si="2"/>
        <v>cross screw - 106403</v>
      </c>
      <c r="M16" s="169" t="s">
        <v>3090</v>
      </c>
      <c r="N16" s="169" t="str">
        <f t="shared" si="3"/>
        <v>on screw (w/ cam adjust) - N/A</v>
      </c>
      <c r="O16" s="169">
        <v>119240</v>
      </c>
      <c r="P16" s="169" t="str">
        <f t="shared" si="4"/>
        <v>euroscrew - 119240</v>
      </c>
      <c r="Q16" s="169">
        <v>136276</v>
      </c>
      <c r="R16" s="169" t="str">
        <f t="shared" si="5"/>
        <v>expando - 136276</v>
      </c>
      <c r="S16" s="169">
        <v>300319</v>
      </c>
      <c r="T16" s="169" t="str">
        <f t="shared" si="6"/>
        <v>direct screw - 300319</v>
      </c>
      <c r="U16" s="169" t="s">
        <v>3090</v>
      </c>
      <c r="V16" s="169" t="str">
        <f t="shared" si="7"/>
        <v>direct euroscrew - N/A</v>
      </c>
      <c r="W16" s="169" t="s">
        <v>3090</v>
      </c>
      <c r="X16" s="169" t="str">
        <f t="shared" si="8"/>
        <v>direct expando - N/A</v>
      </c>
      <c r="Y16" s="168"/>
      <c r="Z16" s="168"/>
    </row>
    <row r="17" spans="1:26" ht="15">
      <c r="A17" s="173" t="s">
        <v>2044</v>
      </c>
      <c r="B17" s="173" t="s">
        <v>989</v>
      </c>
      <c r="C17" s="173" t="str">
        <f>'Translate&amp;Prices&amp;Logo'!B554</f>
        <v>Half-overlay</v>
      </c>
      <c r="D17" s="166" t="str">
        <f t="shared" si="0"/>
        <v>úzký_HETTICH_Polonaložený</v>
      </c>
      <c r="E17" s="173" t="str">
        <f>'Translate&amp;Prices&amp;Logo'!$B$584</f>
        <v>tip-on without spring / damping</v>
      </c>
      <c r="F17" s="168" t="str">
        <f>'Translate&amp;Prices&amp;Logo'!$B$585</f>
        <v>silver</v>
      </c>
      <c r="G17" s="168" t="str">
        <f t="shared" si="1"/>
        <v>300286 - Half-overlay tip-on without spring / damping - silver</v>
      </c>
      <c r="H17" s="169">
        <v>300286</v>
      </c>
      <c r="I17" s="169" t="s">
        <v>2046</v>
      </c>
      <c r="J17" s="169" t="s">
        <v>2046</v>
      </c>
      <c r="K17" s="169">
        <v>106403</v>
      </c>
      <c r="L17" s="169" t="str">
        <f t="shared" si="2"/>
        <v>cross screw - 106403</v>
      </c>
      <c r="M17" s="169" t="s">
        <v>3090</v>
      </c>
      <c r="N17" s="169" t="str">
        <f t="shared" si="3"/>
        <v>on screw (w/ cam adjust) - N/A</v>
      </c>
      <c r="O17" s="169">
        <v>119240</v>
      </c>
      <c r="P17" s="169" t="str">
        <f t="shared" si="4"/>
        <v>euroscrew - 119240</v>
      </c>
      <c r="Q17" s="169">
        <v>136276</v>
      </c>
      <c r="R17" s="169" t="str">
        <f t="shared" si="5"/>
        <v>expando - 136276</v>
      </c>
      <c r="S17" s="169">
        <v>300319</v>
      </c>
      <c r="T17" s="169" t="str">
        <f t="shared" si="6"/>
        <v>direct screw - 300319</v>
      </c>
      <c r="U17" s="169" t="s">
        <v>3090</v>
      </c>
      <c r="V17" s="169" t="str">
        <f t="shared" si="7"/>
        <v>direct euroscrew - N/A</v>
      </c>
      <c r="W17" s="169" t="s">
        <v>3090</v>
      </c>
      <c r="X17" s="169" t="str">
        <f t="shared" si="8"/>
        <v>direct expando - N/A</v>
      </c>
      <c r="Y17" s="168"/>
      <c r="Z17" s="168"/>
    </row>
    <row r="18" spans="1:26" ht="15">
      <c r="A18" s="168" t="s">
        <v>2044</v>
      </c>
      <c r="B18" s="168" t="s">
        <v>989</v>
      </c>
      <c r="C18" s="168" t="str">
        <f>'Translate&amp;Prices&amp;Logo'!B555</f>
        <v>Inset</v>
      </c>
      <c r="D18" s="166" t="str">
        <f t="shared" si="0"/>
        <v>úzký_HETTICH_Vložený</v>
      </c>
      <c r="E18" s="168" t="str">
        <f>'Translate&amp;Prices&amp;Logo'!$B$582</f>
        <v>with spring and damping</v>
      </c>
      <c r="F18" s="168" t="str">
        <f>'Translate&amp;Prices&amp;Logo'!$B$585</f>
        <v>silver</v>
      </c>
      <c r="G18" s="168" t="str">
        <f t="shared" si="1"/>
        <v>300281 - Inset with spring and damping - silver</v>
      </c>
      <c r="H18" s="169">
        <v>300281</v>
      </c>
      <c r="I18" s="169" t="s">
        <v>2046</v>
      </c>
      <c r="J18" s="169" t="s">
        <v>2046</v>
      </c>
      <c r="K18" s="169">
        <v>106403</v>
      </c>
      <c r="L18" s="169" t="str">
        <f t="shared" si="2"/>
        <v>cross screw - 106403</v>
      </c>
      <c r="M18" s="169" t="s">
        <v>3090</v>
      </c>
      <c r="N18" s="169" t="str">
        <f t="shared" si="3"/>
        <v>on screw (w/ cam adjust) - N/A</v>
      </c>
      <c r="O18" s="169">
        <v>119240</v>
      </c>
      <c r="P18" s="169" t="str">
        <f t="shared" si="4"/>
        <v>euroscrew - 119240</v>
      </c>
      <c r="Q18" s="169">
        <v>136276</v>
      </c>
      <c r="R18" s="169" t="str">
        <f t="shared" si="5"/>
        <v>expando - 136276</v>
      </c>
      <c r="S18" s="169">
        <v>300319</v>
      </c>
      <c r="T18" s="169" t="str">
        <f t="shared" si="6"/>
        <v>direct screw - 300319</v>
      </c>
      <c r="U18" s="169" t="s">
        <v>3090</v>
      </c>
      <c r="V18" s="169" t="str">
        <f t="shared" si="7"/>
        <v>direct euroscrew - N/A</v>
      </c>
      <c r="W18" s="169" t="s">
        <v>3090</v>
      </c>
      <c r="X18" s="169" t="str">
        <f t="shared" si="8"/>
        <v>direct expando - N/A</v>
      </c>
      <c r="Y18" s="168"/>
      <c r="Z18" s="168"/>
    </row>
    <row r="19" spans="1:26" ht="15">
      <c r="A19" s="168" t="s">
        <v>2044</v>
      </c>
      <c r="B19" s="168" t="s">
        <v>989</v>
      </c>
      <c r="C19" s="168" t="str">
        <f>'Translate&amp;Prices&amp;Logo'!B555</f>
        <v>Inset</v>
      </c>
      <c r="D19" s="166" t="str">
        <f t="shared" si="0"/>
        <v>úzký_HETTICH_Vložený</v>
      </c>
      <c r="E19" s="168" t="str">
        <f>'Translate&amp;Prices&amp;Logo'!$B$583</f>
        <v>without damping</v>
      </c>
      <c r="F19" s="168" t="str">
        <f>'Translate&amp;Prices&amp;Logo'!$B$585</f>
        <v>silver</v>
      </c>
      <c r="G19" s="168" t="str">
        <f t="shared" si="1"/>
        <v>300284 - Inset without damping - silver</v>
      </c>
      <c r="H19" s="169">
        <v>300284</v>
      </c>
      <c r="I19" s="169" t="s">
        <v>2046</v>
      </c>
      <c r="J19" s="169" t="s">
        <v>2046</v>
      </c>
      <c r="K19" s="169">
        <v>106403</v>
      </c>
      <c r="L19" s="169" t="str">
        <f t="shared" si="2"/>
        <v>cross screw - 106403</v>
      </c>
      <c r="M19" s="169" t="s">
        <v>3090</v>
      </c>
      <c r="N19" s="169" t="str">
        <f t="shared" si="3"/>
        <v>on screw (w/ cam adjust) - N/A</v>
      </c>
      <c r="O19" s="169">
        <v>119240</v>
      </c>
      <c r="P19" s="169" t="str">
        <f t="shared" si="4"/>
        <v>euroscrew - 119240</v>
      </c>
      <c r="Q19" s="169">
        <v>136276</v>
      </c>
      <c r="R19" s="169" t="str">
        <f t="shared" si="5"/>
        <v>expando - 136276</v>
      </c>
      <c r="S19" s="169">
        <v>300319</v>
      </c>
      <c r="T19" s="169" t="str">
        <f t="shared" si="6"/>
        <v>direct screw - 300319</v>
      </c>
      <c r="U19" s="169" t="s">
        <v>3090</v>
      </c>
      <c r="V19" s="169" t="str">
        <f t="shared" si="7"/>
        <v>direct euroscrew - N/A</v>
      </c>
      <c r="W19" s="169" t="s">
        <v>3090</v>
      </c>
      <c r="X19" s="169" t="str">
        <f t="shared" si="8"/>
        <v>direct expando - N/A</v>
      </c>
      <c r="Y19" s="168"/>
      <c r="Z19" s="168"/>
    </row>
    <row r="20" spans="1:26" ht="15">
      <c r="A20" s="168" t="s">
        <v>2044</v>
      </c>
      <c r="B20" s="168" t="s">
        <v>989</v>
      </c>
      <c r="C20" s="168" t="str">
        <f>'Translate&amp;Prices&amp;Logo'!B555</f>
        <v>Inset</v>
      </c>
      <c r="D20" s="166" t="str">
        <f t="shared" si="0"/>
        <v>úzký_HETTICH_Vložený</v>
      </c>
      <c r="E20" s="168" t="str">
        <f>'Translate&amp;Prices&amp;Logo'!$B$584</f>
        <v>tip-on without spring / damping</v>
      </c>
      <c r="F20" s="168" t="str">
        <f>'Translate&amp;Prices&amp;Logo'!$B$585</f>
        <v>silver</v>
      </c>
      <c r="G20" s="168" t="str">
        <f t="shared" si="1"/>
        <v>300287 - Inset tip-on without spring / damping - silver</v>
      </c>
      <c r="H20" s="169">
        <v>300287</v>
      </c>
      <c r="I20" s="169" t="s">
        <v>2046</v>
      </c>
      <c r="J20" s="169" t="s">
        <v>2046</v>
      </c>
      <c r="K20" s="169">
        <v>106403</v>
      </c>
      <c r="L20" s="169" t="str">
        <f t="shared" si="2"/>
        <v>cross screw - 106403</v>
      </c>
      <c r="M20" s="169" t="s">
        <v>3090</v>
      </c>
      <c r="N20" s="169" t="str">
        <f t="shared" si="3"/>
        <v>on screw (w/ cam adjust) - N/A</v>
      </c>
      <c r="O20" s="169">
        <v>119240</v>
      </c>
      <c r="P20" s="169" t="str">
        <f t="shared" si="4"/>
        <v>euroscrew - 119240</v>
      </c>
      <c r="Q20" s="169">
        <v>136276</v>
      </c>
      <c r="R20" s="169" t="str">
        <f t="shared" si="5"/>
        <v>expando - 136276</v>
      </c>
      <c r="S20" s="169">
        <v>300319</v>
      </c>
      <c r="T20" s="169" t="str">
        <f t="shared" si="6"/>
        <v>direct screw - 300319</v>
      </c>
      <c r="U20" s="169" t="s">
        <v>3090</v>
      </c>
      <c r="V20" s="169" t="str">
        <f t="shared" si="7"/>
        <v>direct euroscrew - N/A</v>
      </c>
      <c r="W20" s="169" t="s">
        <v>3090</v>
      </c>
      <c r="X20" s="169" t="str">
        <f t="shared" si="8"/>
        <v>direct expando - N/A</v>
      </c>
      <c r="Y20" s="168"/>
      <c r="Z20" s="168"/>
    </row>
    <row r="21" spans="1:26" ht="15">
      <c r="A21" s="173" t="s">
        <v>2044</v>
      </c>
      <c r="B21" s="173" t="s">
        <v>85</v>
      </c>
      <c r="C21" s="173" t="str">
        <f>'Translate&amp;Prices&amp;Logo'!B553</f>
        <v>Overlay</v>
      </c>
      <c r="D21" s="166" t="str">
        <f t="shared" si="0"/>
        <v>úzký_STRONG_Naložený</v>
      </c>
      <c r="E21" s="173" t="str">
        <f>'Translate&amp;Prices&amp;Logo'!$B$582</f>
        <v>with spring and damping</v>
      </c>
      <c r="F21" s="168" t="str">
        <f>'Translate&amp;Prices&amp;Logo'!$B$585</f>
        <v>silver</v>
      </c>
      <c r="G21" s="168" t="str">
        <f>CONCATENATE(I21," ","-"," ",C21," ",E21," - ",F21)</f>
        <v>92584T - Overlay with spring and damping - silver</v>
      </c>
      <c r="H21" s="169" t="s">
        <v>2046</v>
      </c>
      <c r="I21" s="169" t="s">
        <v>768</v>
      </c>
      <c r="J21" s="169" t="s">
        <v>2046</v>
      </c>
      <c r="K21" s="169" t="s">
        <v>86</v>
      </c>
      <c r="L21" s="169" t="str">
        <f t="shared" si="2"/>
        <v>cross screw - 92590T</v>
      </c>
      <c r="M21" s="169" t="s">
        <v>90</v>
      </c>
      <c r="N21" s="169" t="str">
        <f t="shared" si="3"/>
        <v>on screw (w/ cam adjust) - 92594T</v>
      </c>
      <c r="O21" s="169" t="s">
        <v>92</v>
      </c>
      <c r="P21" s="169" t="str">
        <f t="shared" si="4"/>
        <v>euroscrew - 92591T</v>
      </c>
      <c r="Q21" s="169" t="s">
        <v>3090</v>
      </c>
      <c r="R21" s="169" t="str">
        <f t="shared" si="5"/>
        <v>expando - N/A</v>
      </c>
      <c r="S21" s="169" t="s">
        <v>3090</v>
      </c>
      <c r="T21" s="169" t="str">
        <f t="shared" si="6"/>
        <v>direct screw - N/A</v>
      </c>
      <c r="U21" s="169" t="s">
        <v>3090</v>
      </c>
      <c r="V21" s="169" t="str">
        <f t="shared" si="7"/>
        <v>direct euroscrew - N/A</v>
      </c>
      <c r="W21" s="169" t="s">
        <v>3090</v>
      </c>
      <c r="X21" s="169" t="str">
        <f t="shared" si="8"/>
        <v>direct expando - N/A</v>
      </c>
      <c r="Y21" s="168"/>
      <c r="Z21" s="168"/>
    </row>
    <row r="22" spans="1:26" ht="15">
      <c r="A22" s="168" t="s">
        <v>2044</v>
      </c>
      <c r="B22" s="168" t="s">
        <v>3353</v>
      </c>
      <c r="C22" s="168" t="str">
        <f>'Translate&amp;Prices&amp;Logo'!B553</f>
        <v>Overlay</v>
      </c>
      <c r="D22" s="166" t="str">
        <f t="shared" si="0"/>
        <v>úzký_STRONGHINGES_Naložený</v>
      </c>
      <c r="E22" s="168" t="str">
        <f>'Translate&amp;Prices&amp;Logo'!$B$582</f>
        <v>with spring and damping</v>
      </c>
      <c r="F22" s="168" t="str">
        <f>'Translate&amp;Prices&amp;Logo'!$B$585</f>
        <v>silver</v>
      </c>
      <c r="G22" s="168" t="str">
        <f t="shared" ref="G22:G66" si="10">CONCATENATE(I22," ","-"," ",C22," ",E22," - ",F22)</f>
        <v>350863 - Overlay with spring and damping - silver</v>
      </c>
      <c r="H22" s="169" t="s">
        <v>2046</v>
      </c>
      <c r="I22" s="169">
        <v>350863</v>
      </c>
      <c r="J22" s="169" t="s">
        <v>2046</v>
      </c>
      <c r="K22" s="169">
        <v>92596</v>
      </c>
      <c r="L22" s="169" t="str">
        <f t="shared" si="2"/>
        <v>cross screw - 92596</v>
      </c>
      <c r="M22" s="169">
        <v>315856</v>
      </c>
      <c r="N22" s="169" t="str">
        <f t="shared" si="3"/>
        <v>on screw (w/ cam adjust) - 315856</v>
      </c>
      <c r="O22" s="169">
        <v>92597</v>
      </c>
      <c r="P22" s="169" t="str">
        <f t="shared" si="4"/>
        <v>euroscrew - 92597</v>
      </c>
      <c r="Q22" s="169" t="s">
        <v>3090</v>
      </c>
      <c r="R22" s="169" t="str">
        <f t="shared" si="5"/>
        <v>expando - N/A</v>
      </c>
      <c r="S22" s="169" t="s">
        <v>3090</v>
      </c>
      <c r="T22" s="169" t="str">
        <f t="shared" si="6"/>
        <v>direct screw - N/A</v>
      </c>
      <c r="U22" s="169" t="s">
        <v>3090</v>
      </c>
      <c r="V22" s="169" t="str">
        <f t="shared" si="7"/>
        <v>direct euroscrew - N/A</v>
      </c>
      <c r="W22" s="169" t="s">
        <v>3090</v>
      </c>
      <c r="X22" s="169" t="str">
        <f t="shared" si="8"/>
        <v>direct expando - N/A</v>
      </c>
      <c r="Y22" s="168"/>
      <c r="Z22" s="168"/>
    </row>
    <row r="23" spans="1:26" ht="15">
      <c r="A23" s="168" t="s">
        <v>2044</v>
      </c>
      <c r="B23" s="168" t="s">
        <v>3353</v>
      </c>
      <c r="C23" s="168" t="str">
        <f>'Translate&amp;Prices&amp;Logo'!B553</f>
        <v>Overlay</v>
      </c>
      <c r="D23" s="166" t="str">
        <f t="shared" si="0"/>
        <v>úzký_STRONGHINGES_Naložený</v>
      </c>
      <c r="E23" s="168" t="str">
        <f>'Translate&amp;Prices&amp;Logo'!$B$584</f>
        <v>tip-on without spring / damping</v>
      </c>
      <c r="F23" s="168" t="str">
        <f>'Translate&amp;Prices&amp;Logo'!$B$585</f>
        <v>silver</v>
      </c>
      <c r="G23" s="168" t="str">
        <f t="shared" si="10"/>
        <v>350864 - Overlay tip-on without spring / damping - silver</v>
      </c>
      <c r="H23" s="169" t="s">
        <v>2046</v>
      </c>
      <c r="I23" s="169">
        <v>350864</v>
      </c>
      <c r="J23" s="169" t="s">
        <v>2046</v>
      </c>
      <c r="K23" s="169">
        <v>92596</v>
      </c>
      <c r="L23" s="169" t="str">
        <f t="shared" si="2"/>
        <v>cross screw - 92596</v>
      </c>
      <c r="M23" s="169">
        <v>315856</v>
      </c>
      <c r="N23" s="169" t="str">
        <f t="shared" si="3"/>
        <v>on screw (w/ cam adjust) - 315856</v>
      </c>
      <c r="O23" s="169">
        <v>92597</v>
      </c>
      <c r="P23" s="169" t="str">
        <f t="shared" si="4"/>
        <v>euroscrew - 92597</v>
      </c>
      <c r="Q23" s="169" t="s">
        <v>3090</v>
      </c>
      <c r="R23" s="169" t="str">
        <f t="shared" si="5"/>
        <v>expando - N/A</v>
      </c>
      <c r="S23" s="169" t="s">
        <v>3090</v>
      </c>
      <c r="T23" s="169" t="str">
        <f t="shared" si="6"/>
        <v>direct screw - N/A</v>
      </c>
      <c r="U23" s="169" t="s">
        <v>3090</v>
      </c>
      <c r="V23" s="169" t="str">
        <f t="shared" si="7"/>
        <v>direct euroscrew - N/A</v>
      </c>
      <c r="W23" s="169" t="s">
        <v>3090</v>
      </c>
      <c r="X23" s="169" t="str">
        <f t="shared" si="8"/>
        <v>direct expando - N/A</v>
      </c>
      <c r="Y23" s="168"/>
      <c r="Z23" s="168"/>
    </row>
    <row r="24" spans="1:26" ht="15">
      <c r="A24" s="173" t="s">
        <v>2048</v>
      </c>
      <c r="B24" s="173" t="s">
        <v>2</v>
      </c>
      <c r="C24" s="173" t="str">
        <f>'Translate&amp;Prices&amp;Logo'!B553</f>
        <v>Overlay</v>
      </c>
      <c r="D24" s="166" t="str">
        <f t="shared" si="0"/>
        <v>široký_BLUM_Naložený</v>
      </c>
      <c r="E24" s="173" t="str">
        <f>'Translate&amp;Prices&amp;Logo'!$B$582</f>
        <v>with spring and damping</v>
      </c>
      <c r="F24" s="168" t="str">
        <f>'Translate&amp;Prices&amp;Logo'!$B$585</f>
        <v>silver</v>
      </c>
      <c r="G24" s="168" t="str">
        <f t="shared" si="10"/>
        <v>12047 - Overlay with spring and damping - silver</v>
      </c>
      <c r="H24" s="169" t="s">
        <v>2046</v>
      </c>
      <c r="I24" s="169">
        <v>12047</v>
      </c>
      <c r="J24" s="169" t="s">
        <v>2046</v>
      </c>
      <c r="K24" s="169">
        <v>12306</v>
      </c>
      <c r="L24" s="169" t="str">
        <f t="shared" si="2"/>
        <v>cross screw - 12306</v>
      </c>
      <c r="M24" s="169" t="s">
        <v>3090</v>
      </c>
      <c r="N24" s="169" t="str">
        <f t="shared" si="3"/>
        <v>on screw (w/ cam adjust) - N/A</v>
      </c>
      <c r="O24" s="169">
        <v>12318</v>
      </c>
      <c r="P24" s="169" t="str">
        <f t="shared" si="4"/>
        <v>euroscrew - 12318</v>
      </c>
      <c r="Q24" s="169">
        <v>12302</v>
      </c>
      <c r="R24" s="169" t="str">
        <f t="shared" si="5"/>
        <v>expando - 12302</v>
      </c>
      <c r="S24" s="169">
        <v>203387</v>
      </c>
      <c r="T24" s="169" t="str">
        <f t="shared" si="6"/>
        <v>direct screw - 203387</v>
      </c>
      <c r="U24" s="169">
        <v>346624</v>
      </c>
      <c r="V24" s="169" t="str">
        <f t="shared" si="7"/>
        <v>direct euroscrew - 346624</v>
      </c>
      <c r="W24" s="169">
        <v>211476</v>
      </c>
      <c r="X24" s="169" t="str">
        <f t="shared" si="8"/>
        <v>direct expando - 211476</v>
      </c>
      <c r="Y24" s="168"/>
      <c r="Z24" s="168"/>
    </row>
    <row r="25" spans="1:26" ht="16.350000000000001" customHeight="1">
      <c r="A25" s="173" t="s">
        <v>2048</v>
      </c>
      <c r="B25" s="173" t="s">
        <v>2</v>
      </c>
      <c r="C25" s="173" t="str">
        <f>'Translate&amp;Prices&amp;Logo'!B553</f>
        <v>Overlay</v>
      </c>
      <c r="D25" s="166" t="str">
        <f t="shared" si="0"/>
        <v>široký_BLUM_Naložený</v>
      </c>
      <c r="E25" s="173" t="str">
        <f>'Translate&amp;Prices&amp;Logo'!$B$582</f>
        <v>with spring and damping</v>
      </c>
      <c r="F25" s="168" t="str">
        <f>'Translate&amp;Prices&amp;Logo'!$B$586</f>
        <v>black</v>
      </c>
      <c r="G25" s="168" t="str">
        <f t="shared" si="10"/>
        <v>306317 - Overlay with spring and damping - black</v>
      </c>
      <c r="H25" s="169" t="s">
        <v>2046</v>
      </c>
      <c r="I25" s="169">
        <v>306317</v>
      </c>
      <c r="J25" s="169" t="s">
        <v>2046</v>
      </c>
      <c r="K25" s="169">
        <v>458360</v>
      </c>
      <c r="L25" s="169" t="str">
        <f t="shared" si="2"/>
        <v>cross screw - 458360</v>
      </c>
      <c r="M25" s="169" t="s">
        <v>3090</v>
      </c>
      <c r="N25" s="169" t="str">
        <f t="shared" si="3"/>
        <v>on screw (w/ cam adjust) - N/A</v>
      </c>
      <c r="O25" s="169" t="s">
        <v>3090</v>
      </c>
      <c r="P25" s="169" t="str">
        <f t="shared" si="4"/>
        <v>euroscrew - N/A</v>
      </c>
      <c r="Q25" s="169">
        <v>347124</v>
      </c>
      <c r="R25" s="169" t="str">
        <f t="shared" si="5"/>
        <v>expando - 347124</v>
      </c>
      <c r="S25" s="169">
        <v>306320</v>
      </c>
      <c r="T25" s="169" t="str">
        <f t="shared" si="6"/>
        <v>direct screw - 306320</v>
      </c>
      <c r="U25" s="169" t="s">
        <v>3090</v>
      </c>
      <c r="V25" s="169" t="str">
        <f t="shared" si="7"/>
        <v>direct euroscrew - N/A</v>
      </c>
      <c r="W25" s="169">
        <v>409651</v>
      </c>
      <c r="X25" s="169" t="str">
        <f t="shared" si="8"/>
        <v>direct expando - 409651</v>
      </c>
      <c r="Y25" s="168"/>
      <c r="Z25" s="168"/>
    </row>
    <row r="26" spans="1:26" ht="16.350000000000001" customHeight="1">
      <c r="A26" s="173" t="s">
        <v>2048</v>
      </c>
      <c r="B26" s="173" t="s">
        <v>2</v>
      </c>
      <c r="C26" s="173" t="str">
        <f>'Translate&amp;Prices&amp;Logo'!B553</f>
        <v>Overlay</v>
      </c>
      <c r="D26" s="166" t="str">
        <f t="shared" si="0"/>
        <v>široký_BLUM_Naložený</v>
      </c>
      <c r="E26" s="173" t="str">
        <f>'Translate&amp;Prices&amp;Logo'!$B$583</f>
        <v>without damping</v>
      </c>
      <c r="F26" s="168" t="str">
        <f>'Translate&amp;Prices&amp;Logo'!$B$585</f>
        <v>silver</v>
      </c>
      <c r="G26" s="168" t="str">
        <f t="shared" si="10"/>
        <v>12052 - Overlay without damping - silver</v>
      </c>
      <c r="H26" s="169" t="s">
        <v>2046</v>
      </c>
      <c r="I26" s="169">
        <v>12052</v>
      </c>
      <c r="J26" s="169" t="s">
        <v>2046</v>
      </c>
      <c r="K26" s="169">
        <v>12306</v>
      </c>
      <c r="L26" s="169" t="str">
        <f t="shared" si="2"/>
        <v>cross screw - 12306</v>
      </c>
      <c r="M26" s="169" t="s">
        <v>3090</v>
      </c>
      <c r="N26" s="169" t="str">
        <f t="shared" si="3"/>
        <v>on screw (w/ cam adjust) - N/A</v>
      </c>
      <c r="O26" s="169">
        <v>12318</v>
      </c>
      <c r="P26" s="169" t="str">
        <f t="shared" si="4"/>
        <v>euroscrew - 12318</v>
      </c>
      <c r="Q26" s="169">
        <v>12302</v>
      </c>
      <c r="R26" s="169" t="str">
        <f t="shared" si="5"/>
        <v>expando - 12302</v>
      </c>
      <c r="S26" s="169">
        <v>203387</v>
      </c>
      <c r="T26" s="169" t="str">
        <f t="shared" si="6"/>
        <v>direct screw - 203387</v>
      </c>
      <c r="U26" s="169">
        <v>346624</v>
      </c>
      <c r="V26" s="169" t="str">
        <f t="shared" si="7"/>
        <v>direct euroscrew - 346624</v>
      </c>
      <c r="W26" s="169">
        <v>211476</v>
      </c>
      <c r="X26" s="169" t="str">
        <f t="shared" si="8"/>
        <v>direct expando - 211476</v>
      </c>
      <c r="Y26" s="168"/>
      <c r="Z26" s="168"/>
    </row>
    <row r="27" spans="1:26" ht="16.350000000000001" customHeight="1">
      <c r="A27" s="173" t="s">
        <v>2048</v>
      </c>
      <c r="B27" s="173" t="s">
        <v>2</v>
      </c>
      <c r="C27" s="173" t="str">
        <f>'Translate&amp;Prices&amp;Logo'!B553</f>
        <v>Overlay</v>
      </c>
      <c r="D27" s="166" t="str">
        <f t="shared" si="0"/>
        <v>široký_BLUM_Naložený</v>
      </c>
      <c r="E27" s="173" t="str">
        <f>'Translate&amp;Prices&amp;Logo'!$B$584</f>
        <v>tip-on without spring / damping</v>
      </c>
      <c r="F27" s="168" t="str">
        <f>'Translate&amp;Prices&amp;Logo'!$B$585</f>
        <v>silver</v>
      </c>
      <c r="G27" s="168" t="str">
        <f t="shared" si="10"/>
        <v>226668 - Overlay tip-on without spring / damping - silver</v>
      </c>
      <c r="H27" s="169" t="s">
        <v>2046</v>
      </c>
      <c r="I27" s="169">
        <v>226668</v>
      </c>
      <c r="J27" s="169" t="s">
        <v>2046</v>
      </c>
      <c r="K27" s="169">
        <v>12306</v>
      </c>
      <c r="L27" s="169" t="str">
        <f t="shared" si="2"/>
        <v>cross screw - 12306</v>
      </c>
      <c r="M27" s="169" t="s">
        <v>3090</v>
      </c>
      <c r="N27" s="169" t="str">
        <f t="shared" si="3"/>
        <v>on screw (w/ cam adjust) - N/A</v>
      </c>
      <c r="O27" s="169">
        <v>12318</v>
      </c>
      <c r="P27" s="169" t="str">
        <f t="shared" si="4"/>
        <v>euroscrew - 12318</v>
      </c>
      <c r="Q27" s="169">
        <v>12302</v>
      </c>
      <c r="R27" s="169" t="str">
        <f t="shared" si="5"/>
        <v>expando - 12302</v>
      </c>
      <c r="S27" s="169">
        <v>203387</v>
      </c>
      <c r="T27" s="169" t="str">
        <f t="shared" si="6"/>
        <v>direct screw - 203387</v>
      </c>
      <c r="U27" s="169">
        <v>346624</v>
      </c>
      <c r="V27" s="169" t="str">
        <f t="shared" si="7"/>
        <v>direct euroscrew - 346624</v>
      </c>
      <c r="W27" s="169">
        <v>211476</v>
      </c>
      <c r="X27" s="169" t="str">
        <f t="shared" si="8"/>
        <v>direct expando - 211476</v>
      </c>
      <c r="Y27" s="168"/>
      <c r="Z27" s="168"/>
    </row>
    <row r="28" spans="1:26" ht="16.350000000000001" customHeight="1">
      <c r="A28" s="173" t="s">
        <v>2048</v>
      </c>
      <c r="B28" s="173" t="s">
        <v>2</v>
      </c>
      <c r="C28" s="173" t="str">
        <f>'Translate&amp;Prices&amp;Logo'!B553</f>
        <v>Overlay</v>
      </c>
      <c r="D28" s="166" t="str">
        <f t="shared" si="0"/>
        <v>široký_BLUM_Naložený</v>
      </c>
      <c r="E28" s="173" t="str">
        <f>'Translate&amp;Prices&amp;Logo'!$B$584</f>
        <v>tip-on without spring / damping</v>
      </c>
      <c r="F28" s="168" t="s">
        <v>3602</v>
      </c>
      <c r="G28" s="168" t="str">
        <f>CONCATENATE(H28," ","-"," ",C28," ",E28," - ",F28)</f>
        <v>318173 - Overlay tip-on without spring / damping - onyx</v>
      </c>
      <c r="H28" s="169">
        <v>318173</v>
      </c>
      <c r="Q28" s="169">
        <v>347124</v>
      </c>
      <c r="R28" s="169" t="str">
        <f t="shared" si="5"/>
        <v>expando - 347124</v>
      </c>
      <c r="S28" s="169">
        <v>306320</v>
      </c>
      <c r="T28" s="169" t="str">
        <f t="shared" ref="T28" si="11">CONCATENATE($S$1," - ",S28)</f>
        <v>direct screw - 306320</v>
      </c>
      <c r="X28" s="169"/>
      <c r="Y28" s="168"/>
      <c r="Z28" s="168"/>
    </row>
    <row r="29" spans="1:26" ht="16.350000000000001" customHeight="1">
      <c r="A29" s="168" t="s">
        <v>2048</v>
      </c>
      <c r="B29" s="168" t="s">
        <v>2</v>
      </c>
      <c r="C29" s="168" t="str">
        <f>'Translate&amp;Prices&amp;Logo'!B554</f>
        <v>Half-overlay</v>
      </c>
      <c r="D29" s="166" t="str">
        <f t="shared" si="0"/>
        <v>široký_BLUM_Polonaložený</v>
      </c>
      <c r="E29" s="168" t="str">
        <f>'Translate&amp;Prices&amp;Logo'!$B$582</f>
        <v>with spring and damping</v>
      </c>
      <c r="F29" s="168" t="str">
        <f>'Translate&amp;Prices&amp;Logo'!$B$585</f>
        <v>silver</v>
      </c>
      <c r="G29" s="168" t="str">
        <f t="shared" si="10"/>
        <v>12048 - Half-overlay with spring and damping - silver</v>
      </c>
      <c r="H29" s="169" t="s">
        <v>2046</v>
      </c>
      <c r="I29" s="169">
        <v>12048</v>
      </c>
      <c r="J29" s="169" t="s">
        <v>2046</v>
      </c>
      <c r="K29" s="169">
        <v>12306</v>
      </c>
      <c r="L29" s="169" t="str">
        <f t="shared" si="2"/>
        <v>cross screw - 12306</v>
      </c>
      <c r="M29" s="169" t="s">
        <v>3090</v>
      </c>
      <c r="N29" s="169" t="str">
        <f t="shared" si="3"/>
        <v>on screw (w/ cam adjust) - N/A</v>
      </c>
      <c r="O29" s="169">
        <v>12318</v>
      </c>
      <c r="P29" s="169" t="str">
        <f t="shared" si="4"/>
        <v>euroscrew - 12318</v>
      </c>
      <c r="Q29" s="169">
        <v>12302</v>
      </c>
      <c r="R29" s="169" t="str">
        <f t="shared" si="5"/>
        <v>expando - 12302</v>
      </c>
      <c r="S29" s="169">
        <v>203387</v>
      </c>
      <c r="T29" s="169" t="str">
        <f t="shared" si="6"/>
        <v>direct screw - 203387</v>
      </c>
      <c r="U29" s="169">
        <v>346624</v>
      </c>
      <c r="V29" s="169" t="str">
        <f t="shared" si="7"/>
        <v>direct euroscrew - 346624</v>
      </c>
      <c r="W29" s="169">
        <v>211476</v>
      </c>
      <c r="X29" s="169" t="str">
        <f t="shared" si="8"/>
        <v>direct expando - 211476</v>
      </c>
      <c r="Y29" s="168"/>
      <c r="Z29" s="168"/>
    </row>
    <row r="30" spans="1:26" ht="16.350000000000001" customHeight="1">
      <c r="A30" s="168" t="s">
        <v>2048</v>
      </c>
      <c r="B30" s="168" t="s">
        <v>2</v>
      </c>
      <c r="C30" s="168" t="str">
        <f>'Translate&amp;Prices&amp;Logo'!B554</f>
        <v>Half-overlay</v>
      </c>
      <c r="D30" s="166" t="str">
        <f t="shared" si="0"/>
        <v>široký_BLUM_Polonaložený</v>
      </c>
      <c r="E30" s="168" t="str">
        <f>'Translate&amp;Prices&amp;Logo'!$B$582</f>
        <v>with spring and damping</v>
      </c>
      <c r="F30" s="168" t="str">
        <f>'Translate&amp;Prices&amp;Logo'!$B$586</f>
        <v>black</v>
      </c>
      <c r="G30" s="168" t="str">
        <f t="shared" si="10"/>
        <v>306318 - Half-overlay with spring and damping - black</v>
      </c>
      <c r="H30" s="169" t="s">
        <v>2046</v>
      </c>
      <c r="I30" s="169">
        <v>306318</v>
      </c>
      <c r="J30" s="169" t="s">
        <v>2046</v>
      </c>
      <c r="K30" s="169">
        <v>458360</v>
      </c>
      <c r="L30" s="169" t="str">
        <f t="shared" si="2"/>
        <v>cross screw - 458360</v>
      </c>
      <c r="M30" s="169" t="s">
        <v>3090</v>
      </c>
      <c r="N30" s="169" t="str">
        <f t="shared" si="3"/>
        <v>on screw (w/ cam adjust) - N/A</v>
      </c>
      <c r="O30" s="169" t="s">
        <v>3090</v>
      </c>
      <c r="P30" s="169" t="str">
        <f t="shared" si="4"/>
        <v>euroscrew - N/A</v>
      </c>
      <c r="Q30" s="169">
        <v>347124</v>
      </c>
      <c r="R30" s="169" t="str">
        <f t="shared" si="5"/>
        <v>expando - 347124</v>
      </c>
      <c r="S30" s="169">
        <v>306320</v>
      </c>
      <c r="T30" s="169" t="str">
        <f t="shared" si="6"/>
        <v>direct screw - 306320</v>
      </c>
      <c r="U30" s="169" t="s">
        <v>3090</v>
      </c>
      <c r="V30" s="169" t="str">
        <f t="shared" si="7"/>
        <v>direct euroscrew - N/A</v>
      </c>
      <c r="W30" s="169">
        <v>409651</v>
      </c>
      <c r="X30" s="169" t="str">
        <f t="shared" si="8"/>
        <v>direct expando - 409651</v>
      </c>
      <c r="Y30" s="168"/>
      <c r="Z30" s="168"/>
    </row>
    <row r="31" spans="1:26" ht="16.350000000000001" customHeight="1">
      <c r="A31" s="168" t="s">
        <v>2048</v>
      </c>
      <c r="B31" s="168" t="s">
        <v>2</v>
      </c>
      <c r="C31" s="168" t="str">
        <f>'Translate&amp;Prices&amp;Logo'!B554</f>
        <v>Half-overlay</v>
      </c>
      <c r="D31" s="166" t="str">
        <f t="shared" si="0"/>
        <v>široký_BLUM_Polonaložený</v>
      </c>
      <c r="E31" s="168" t="str">
        <f>'Translate&amp;Prices&amp;Logo'!$B$583</f>
        <v>without damping</v>
      </c>
      <c r="F31" s="168" t="str">
        <f>'Translate&amp;Prices&amp;Logo'!$B$585</f>
        <v>silver</v>
      </c>
      <c r="G31" s="168" t="str">
        <f t="shared" si="10"/>
        <v>12053 - Half-overlay without damping - silver</v>
      </c>
      <c r="H31" s="169" t="s">
        <v>2046</v>
      </c>
      <c r="I31" s="169">
        <v>12053</v>
      </c>
      <c r="J31" s="169" t="s">
        <v>2046</v>
      </c>
      <c r="K31" s="169">
        <v>12306</v>
      </c>
      <c r="L31" s="169" t="str">
        <f t="shared" si="2"/>
        <v>cross screw - 12306</v>
      </c>
      <c r="M31" s="169" t="s">
        <v>3090</v>
      </c>
      <c r="N31" s="169" t="str">
        <f t="shared" si="3"/>
        <v>on screw (w/ cam adjust) - N/A</v>
      </c>
      <c r="O31" s="169">
        <v>12318</v>
      </c>
      <c r="P31" s="169" t="str">
        <f t="shared" si="4"/>
        <v>euroscrew - 12318</v>
      </c>
      <c r="Q31" s="169">
        <v>12302</v>
      </c>
      <c r="R31" s="169" t="str">
        <f t="shared" si="5"/>
        <v>expando - 12302</v>
      </c>
      <c r="S31" s="169">
        <v>203387</v>
      </c>
      <c r="T31" s="169" t="str">
        <f t="shared" si="6"/>
        <v>direct screw - 203387</v>
      </c>
      <c r="U31" s="169">
        <v>346624</v>
      </c>
      <c r="V31" s="169" t="str">
        <f t="shared" si="7"/>
        <v>direct euroscrew - 346624</v>
      </c>
      <c r="W31" s="169">
        <v>211476</v>
      </c>
      <c r="X31" s="169" t="str">
        <f t="shared" si="8"/>
        <v>direct expando - 211476</v>
      </c>
      <c r="Y31" s="168"/>
      <c r="Z31" s="168"/>
    </row>
    <row r="32" spans="1:26" ht="16.350000000000001" customHeight="1">
      <c r="A32" s="168" t="s">
        <v>2048</v>
      </c>
      <c r="B32" s="168" t="s">
        <v>2</v>
      </c>
      <c r="C32" s="168" t="str">
        <f>'Translate&amp;Prices&amp;Logo'!B554</f>
        <v>Half-overlay</v>
      </c>
      <c r="D32" s="166" t="str">
        <f t="shared" si="0"/>
        <v>široký_BLUM_Polonaložený</v>
      </c>
      <c r="E32" s="168" t="str">
        <f>'Translate&amp;Prices&amp;Logo'!$B$584</f>
        <v>tip-on without spring / damping</v>
      </c>
      <c r="F32" s="168" t="str">
        <f>'Translate&amp;Prices&amp;Logo'!$B$585</f>
        <v>silver</v>
      </c>
      <c r="G32" s="168" t="str">
        <f t="shared" si="10"/>
        <v>226670 - Half-overlay tip-on without spring / damping - silver</v>
      </c>
      <c r="H32" s="169" t="s">
        <v>2046</v>
      </c>
      <c r="I32" s="169">
        <v>226670</v>
      </c>
      <c r="J32" s="169" t="s">
        <v>2046</v>
      </c>
      <c r="K32" s="169">
        <v>12306</v>
      </c>
      <c r="L32" s="169" t="str">
        <f t="shared" si="2"/>
        <v>cross screw - 12306</v>
      </c>
      <c r="M32" s="169" t="s">
        <v>3090</v>
      </c>
      <c r="N32" s="169" t="str">
        <f t="shared" si="3"/>
        <v>on screw (w/ cam adjust) - N/A</v>
      </c>
      <c r="O32" s="169">
        <v>12318</v>
      </c>
      <c r="P32" s="169" t="str">
        <f t="shared" si="4"/>
        <v>euroscrew - 12318</v>
      </c>
      <c r="Q32" s="169">
        <v>12302</v>
      </c>
      <c r="R32" s="169" t="str">
        <f t="shared" si="5"/>
        <v>expando - 12302</v>
      </c>
      <c r="S32" s="169">
        <v>203387</v>
      </c>
      <c r="T32" s="169" t="str">
        <f t="shared" si="6"/>
        <v>direct screw - 203387</v>
      </c>
      <c r="U32" s="169">
        <v>346624</v>
      </c>
      <c r="V32" s="169" t="str">
        <f t="shared" si="7"/>
        <v>direct euroscrew - 346624</v>
      </c>
      <c r="W32" s="169">
        <v>211476</v>
      </c>
      <c r="X32" s="169" t="str">
        <f t="shared" si="8"/>
        <v>direct expando - 211476</v>
      </c>
      <c r="Y32" s="168"/>
      <c r="Z32" s="168"/>
    </row>
    <row r="33" spans="1:26" ht="16.350000000000001" customHeight="1">
      <c r="A33" s="173" t="s">
        <v>2048</v>
      </c>
      <c r="B33" s="173" t="s">
        <v>2</v>
      </c>
      <c r="C33" s="173" t="str">
        <f>'Translate&amp;Prices&amp;Logo'!B555</f>
        <v>Inset</v>
      </c>
      <c r="D33" s="166" t="str">
        <f t="shared" si="0"/>
        <v>široký_BLUM_Vložený</v>
      </c>
      <c r="E33" s="173" t="str">
        <f>'Translate&amp;Prices&amp;Logo'!$B$582</f>
        <v>with spring and damping</v>
      </c>
      <c r="F33" s="168" t="str">
        <f>'Translate&amp;Prices&amp;Logo'!$B$585</f>
        <v>silver</v>
      </c>
      <c r="G33" s="168" t="str">
        <f t="shared" si="10"/>
        <v>12049 - Inset with spring and damping - silver</v>
      </c>
      <c r="H33" s="169" t="s">
        <v>2046</v>
      </c>
      <c r="I33" s="169">
        <v>12049</v>
      </c>
      <c r="J33" s="169" t="s">
        <v>2046</v>
      </c>
      <c r="K33" s="169">
        <v>12306</v>
      </c>
      <c r="L33" s="169" t="str">
        <f t="shared" si="2"/>
        <v>cross screw - 12306</v>
      </c>
      <c r="M33" s="169" t="s">
        <v>3090</v>
      </c>
      <c r="N33" s="169" t="str">
        <f t="shared" si="3"/>
        <v>on screw (w/ cam adjust) - N/A</v>
      </c>
      <c r="O33" s="169">
        <v>12318</v>
      </c>
      <c r="P33" s="169" t="str">
        <f t="shared" si="4"/>
        <v>euroscrew - 12318</v>
      </c>
      <c r="Q33" s="169">
        <v>12302</v>
      </c>
      <c r="R33" s="169" t="str">
        <f t="shared" si="5"/>
        <v>expando - 12302</v>
      </c>
      <c r="S33" s="169">
        <v>203387</v>
      </c>
      <c r="T33" s="169" t="str">
        <f t="shared" si="6"/>
        <v>direct screw - 203387</v>
      </c>
      <c r="U33" s="169">
        <v>346624</v>
      </c>
      <c r="V33" s="169" t="str">
        <f t="shared" si="7"/>
        <v>direct euroscrew - 346624</v>
      </c>
      <c r="W33" s="169">
        <v>211476</v>
      </c>
      <c r="X33" s="169" t="str">
        <f t="shared" si="8"/>
        <v>direct expando - 211476</v>
      </c>
      <c r="Y33" s="168"/>
      <c r="Z33" s="168"/>
    </row>
    <row r="34" spans="1:26" ht="16.350000000000001" customHeight="1">
      <c r="A34" s="173" t="s">
        <v>2048</v>
      </c>
      <c r="B34" s="173" t="s">
        <v>2</v>
      </c>
      <c r="C34" s="173" t="str">
        <f>'Translate&amp;Prices&amp;Logo'!B555</f>
        <v>Inset</v>
      </c>
      <c r="D34" s="166" t="str">
        <f t="shared" si="0"/>
        <v>široký_BLUM_Vložený</v>
      </c>
      <c r="E34" s="173" t="str">
        <f>'Translate&amp;Prices&amp;Logo'!$B$582</f>
        <v>with spring and damping</v>
      </c>
      <c r="F34" s="168" t="str">
        <f>'Translate&amp;Prices&amp;Logo'!$B$586</f>
        <v>black</v>
      </c>
      <c r="G34" s="168" t="str">
        <f t="shared" si="10"/>
        <v>306319 - Inset with spring and damping - black</v>
      </c>
      <c r="H34" s="169" t="s">
        <v>2046</v>
      </c>
      <c r="I34" s="169">
        <v>306319</v>
      </c>
      <c r="J34" s="169" t="s">
        <v>2046</v>
      </c>
      <c r="K34" s="169">
        <v>458360</v>
      </c>
      <c r="L34" s="169" t="str">
        <f t="shared" si="2"/>
        <v>cross screw - 458360</v>
      </c>
      <c r="M34" s="169" t="s">
        <v>3090</v>
      </c>
      <c r="N34" s="169" t="str">
        <f t="shared" si="3"/>
        <v>on screw (w/ cam adjust) - N/A</v>
      </c>
      <c r="O34" s="169" t="s">
        <v>3090</v>
      </c>
      <c r="P34" s="169" t="str">
        <f t="shared" si="4"/>
        <v>euroscrew - N/A</v>
      </c>
      <c r="Q34" s="169">
        <v>347124</v>
      </c>
      <c r="R34" s="169" t="str">
        <f t="shared" si="5"/>
        <v>expando - 347124</v>
      </c>
      <c r="S34" s="169">
        <v>306320</v>
      </c>
      <c r="T34" s="169" t="str">
        <f t="shared" si="6"/>
        <v>direct screw - 306320</v>
      </c>
      <c r="U34" s="169" t="s">
        <v>3090</v>
      </c>
      <c r="V34" s="169" t="str">
        <f t="shared" si="7"/>
        <v>direct euroscrew - N/A</v>
      </c>
      <c r="W34" s="169">
        <v>409651</v>
      </c>
      <c r="X34" s="169" t="str">
        <f t="shared" si="8"/>
        <v>direct expando - 409651</v>
      </c>
      <c r="Y34" s="168"/>
      <c r="Z34" s="168"/>
    </row>
    <row r="35" spans="1:26" ht="16.350000000000001" customHeight="1">
      <c r="A35" s="173" t="s">
        <v>2048</v>
      </c>
      <c r="B35" s="173" t="s">
        <v>2</v>
      </c>
      <c r="C35" s="173" t="str">
        <f>'Translate&amp;Prices&amp;Logo'!B555</f>
        <v>Inset</v>
      </c>
      <c r="D35" s="166" t="str">
        <f t="shared" si="0"/>
        <v>široký_BLUM_Vložený</v>
      </c>
      <c r="E35" s="173" t="str">
        <f>'Translate&amp;Prices&amp;Logo'!$B$583</f>
        <v>without damping</v>
      </c>
      <c r="F35" s="168" t="str">
        <f>'Translate&amp;Prices&amp;Logo'!$B$585</f>
        <v>silver</v>
      </c>
      <c r="G35" s="168" t="str">
        <f t="shared" si="10"/>
        <v>12059 - Inset without damping - silver</v>
      </c>
      <c r="H35" s="169" t="s">
        <v>2046</v>
      </c>
      <c r="I35" s="169">
        <v>12059</v>
      </c>
      <c r="J35" s="169" t="s">
        <v>2046</v>
      </c>
      <c r="K35" s="169">
        <v>12306</v>
      </c>
      <c r="L35" s="169" t="str">
        <f t="shared" si="2"/>
        <v>cross screw - 12306</v>
      </c>
      <c r="M35" s="169" t="s">
        <v>3090</v>
      </c>
      <c r="N35" s="169" t="str">
        <f t="shared" si="3"/>
        <v>on screw (w/ cam adjust) - N/A</v>
      </c>
      <c r="O35" s="169">
        <v>12318</v>
      </c>
      <c r="P35" s="169" t="str">
        <f t="shared" si="4"/>
        <v>euroscrew - 12318</v>
      </c>
      <c r="Q35" s="169">
        <v>12302</v>
      </c>
      <c r="R35" s="169" t="str">
        <f t="shared" si="5"/>
        <v>expando - 12302</v>
      </c>
      <c r="S35" s="169">
        <v>203387</v>
      </c>
      <c r="T35" s="169" t="str">
        <f t="shared" si="6"/>
        <v>direct screw - 203387</v>
      </c>
      <c r="U35" s="169">
        <v>346624</v>
      </c>
      <c r="V35" s="169" t="str">
        <f t="shared" si="7"/>
        <v>direct euroscrew - 346624</v>
      </c>
      <c r="W35" s="169">
        <v>211476</v>
      </c>
      <c r="X35" s="169" t="str">
        <f t="shared" si="8"/>
        <v>direct expando - 211476</v>
      </c>
      <c r="Y35" s="168"/>
      <c r="Z35" s="168"/>
    </row>
    <row r="36" spans="1:26" ht="15">
      <c r="A36" s="173" t="s">
        <v>2048</v>
      </c>
      <c r="B36" s="173" t="s">
        <v>2</v>
      </c>
      <c r="C36" s="173" t="str">
        <f>'Translate&amp;Prices&amp;Logo'!B555</f>
        <v>Inset</v>
      </c>
      <c r="D36" s="166" t="str">
        <f t="shared" si="0"/>
        <v>široký_BLUM_Vložený</v>
      </c>
      <c r="E36" s="173" t="str">
        <f>'Translate&amp;Prices&amp;Logo'!$B$584</f>
        <v>tip-on without spring / damping</v>
      </c>
      <c r="F36" s="168" t="str">
        <f>'Translate&amp;Prices&amp;Logo'!$B$585</f>
        <v>silver</v>
      </c>
      <c r="G36" s="168" t="str">
        <f t="shared" si="10"/>
        <v>226671 - Inset tip-on without spring / damping - silver</v>
      </c>
      <c r="H36" s="169" t="s">
        <v>2046</v>
      </c>
      <c r="I36" s="169">
        <v>226671</v>
      </c>
      <c r="J36" s="169" t="s">
        <v>2046</v>
      </c>
      <c r="K36" s="169">
        <v>12306</v>
      </c>
      <c r="L36" s="169" t="str">
        <f t="shared" si="2"/>
        <v>cross screw - 12306</v>
      </c>
      <c r="M36" s="169" t="s">
        <v>3090</v>
      </c>
      <c r="N36" s="169" t="str">
        <f t="shared" si="3"/>
        <v>on screw (w/ cam adjust) - N/A</v>
      </c>
      <c r="O36" s="169">
        <v>12318</v>
      </c>
      <c r="P36" s="169" t="str">
        <f t="shared" si="4"/>
        <v>euroscrew - 12318</v>
      </c>
      <c r="Q36" s="169">
        <v>12302</v>
      </c>
      <c r="R36" s="169" t="str">
        <f t="shared" si="5"/>
        <v>expando - 12302</v>
      </c>
      <c r="S36" s="169">
        <v>203387</v>
      </c>
      <c r="T36" s="169" t="str">
        <f t="shared" si="6"/>
        <v>direct screw - 203387</v>
      </c>
      <c r="U36" s="169">
        <v>346624</v>
      </c>
      <c r="V36" s="169" t="str">
        <f t="shared" si="7"/>
        <v>direct euroscrew - 346624</v>
      </c>
      <c r="W36" s="169">
        <v>211476</v>
      </c>
      <c r="X36" s="169" t="str">
        <f t="shared" si="8"/>
        <v>direct expando - 211476</v>
      </c>
      <c r="Y36" s="168"/>
      <c r="Z36" s="168"/>
    </row>
    <row r="37" spans="1:26" ht="15">
      <c r="A37" s="168" t="s">
        <v>2048</v>
      </c>
      <c r="B37" s="168" t="s">
        <v>989</v>
      </c>
      <c r="C37" s="168" t="str">
        <f>'Translate&amp;Prices&amp;Logo'!B553</f>
        <v>Overlay</v>
      </c>
      <c r="D37" s="166" t="str">
        <f t="shared" si="0"/>
        <v>široký_HETTICH_Naložený</v>
      </c>
      <c r="E37" s="168" t="str">
        <f>'Translate&amp;Prices&amp;Logo'!$B$582</f>
        <v>with spring and damping</v>
      </c>
      <c r="F37" s="168" t="str">
        <f>'Translate&amp;Prices&amp;Logo'!$B$585</f>
        <v>silver</v>
      </c>
      <c r="G37" s="168" t="str">
        <f t="shared" si="10"/>
        <v>104717 - Overlay with spring and damping - silver</v>
      </c>
      <c r="H37" s="169" t="s">
        <v>2046</v>
      </c>
      <c r="I37" s="169">
        <v>104717</v>
      </c>
      <c r="J37" s="169" t="s">
        <v>2046</v>
      </c>
      <c r="K37" s="169">
        <v>106403</v>
      </c>
      <c r="L37" s="169" t="str">
        <f t="shared" si="2"/>
        <v>cross screw - 106403</v>
      </c>
      <c r="M37" s="169" t="s">
        <v>3090</v>
      </c>
      <c r="N37" s="169" t="str">
        <f t="shared" si="3"/>
        <v>on screw (w/ cam adjust) - N/A</v>
      </c>
      <c r="O37" s="169">
        <v>119240</v>
      </c>
      <c r="P37" s="169" t="str">
        <f t="shared" si="4"/>
        <v>euroscrew - 119240</v>
      </c>
      <c r="Q37" s="169">
        <v>136276</v>
      </c>
      <c r="R37" s="169" t="str">
        <f t="shared" si="5"/>
        <v>expando - 136276</v>
      </c>
      <c r="S37" s="169">
        <v>300319</v>
      </c>
      <c r="T37" s="169" t="str">
        <f t="shared" si="6"/>
        <v>direct screw - 300319</v>
      </c>
      <c r="U37" s="169" t="s">
        <v>3090</v>
      </c>
      <c r="V37" s="169" t="str">
        <f t="shared" si="7"/>
        <v>direct euroscrew - N/A</v>
      </c>
      <c r="W37" s="169" t="s">
        <v>3090</v>
      </c>
      <c r="X37" s="169" t="str">
        <f t="shared" si="8"/>
        <v>direct expando - N/A</v>
      </c>
      <c r="Y37" s="168"/>
      <c r="Z37" s="168"/>
    </row>
    <row r="38" spans="1:26" ht="15">
      <c r="A38" s="168" t="s">
        <v>2048</v>
      </c>
      <c r="B38" s="168" t="s">
        <v>989</v>
      </c>
      <c r="C38" s="168" t="str">
        <f>'Translate&amp;Prices&amp;Logo'!B553</f>
        <v>Overlay</v>
      </c>
      <c r="D38" s="166" t="str">
        <f t="shared" si="0"/>
        <v>široký_HETTICH_Naložený</v>
      </c>
      <c r="E38" s="168" t="str">
        <f>'Translate&amp;Prices&amp;Logo'!$B$582</f>
        <v>with spring and damping</v>
      </c>
      <c r="F38" s="168" t="str">
        <f>'Translate&amp;Prices&amp;Logo'!$B$586</f>
        <v>black</v>
      </c>
      <c r="G38" s="168" t="str">
        <f t="shared" si="10"/>
        <v>344691 - Overlay with spring and damping - black</v>
      </c>
      <c r="H38" s="169" t="s">
        <v>2046</v>
      </c>
      <c r="I38" s="169">
        <v>344691</v>
      </c>
      <c r="J38" s="169" t="s">
        <v>2046</v>
      </c>
      <c r="K38" s="169" t="s">
        <v>3090</v>
      </c>
      <c r="L38" s="169" t="str">
        <f t="shared" si="2"/>
        <v>cross screw - N/A</v>
      </c>
      <c r="M38" s="169" t="s">
        <v>3090</v>
      </c>
      <c r="N38" s="169" t="str">
        <f t="shared" si="3"/>
        <v>on screw (w/ cam adjust) - N/A</v>
      </c>
      <c r="O38" s="169">
        <v>344723</v>
      </c>
      <c r="P38" s="169" t="str">
        <f t="shared" si="4"/>
        <v>euroscrew - 344723</v>
      </c>
      <c r="Q38" s="169">
        <v>344727</v>
      </c>
      <c r="R38" s="169" t="str">
        <f t="shared" si="5"/>
        <v>expando - 344727</v>
      </c>
      <c r="S38" s="169">
        <v>397949</v>
      </c>
      <c r="T38" s="169" t="str">
        <f t="shared" si="6"/>
        <v>direct screw - 397949</v>
      </c>
      <c r="U38" s="169" t="s">
        <v>3090</v>
      </c>
      <c r="V38" s="169" t="str">
        <f t="shared" si="7"/>
        <v>direct euroscrew - N/A</v>
      </c>
      <c r="W38" s="169" t="s">
        <v>3090</v>
      </c>
      <c r="X38" s="169" t="str">
        <f t="shared" si="8"/>
        <v>direct expando - N/A</v>
      </c>
      <c r="Y38" s="168"/>
      <c r="Z38" s="168"/>
    </row>
    <row r="39" spans="1:26" ht="15">
      <c r="A39" s="168" t="s">
        <v>2048</v>
      </c>
      <c r="B39" s="168" t="s">
        <v>989</v>
      </c>
      <c r="C39" s="168" t="str">
        <f>'Translate&amp;Prices&amp;Logo'!B553</f>
        <v>Overlay</v>
      </c>
      <c r="D39" s="166" t="str">
        <f t="shared" si="0"/>
        <v>široký_HETTICH_Naložený</v>
      </c>
      <c r="E39" s="168" t="str">
        <f>'Translate&amp;Prices&amp;Logo'!$B$583</f>
        <v>without damping</v>
      </c>
      <c r="F39" s="168" t="str">
        <f>'Translate&amp;Prices&amp;Logo'!$B$585</f>
        <v>silver</v>
      </c>
      <c r="G39" s="168" t="str">
        <f t="shared" si="10"/>
        <v>232346 - Overlay without damping - silver</v>
      </c>
      <c r="H39" s="169" t="s">
        <v>2046</v>
      </c>
      <c r="I39" s="169">
        <v>232346</v>
      </c>
      <c r="J39" s="169" t="s">
        <v>2046</v>
      </c>
      <c r="K39" s="169">
        <v>106403</v>
      </c>
      <c r="L39" s="169" t="str">
        <f t="shared" si="2"/>
        <v>cross screw - 106403</v>
      </c>
      <c r="M39" s="169" t="s">
        <v>3090</v>
      </c>
      <c r="N39" s="169" t="str">
        <f t="shared" si="3"/>
        <v>on screw (w/ cam adjust) - N/A</v>
      </c>
      <c r="O39" s="169">
        <v>119240</v>
      </c>
      <c r="P39" s="169" t="str">
        <f t="shared" si="4"/>
        <v>euroscrew - 119240</v>
      </c>
      <c r="Q39" s="169">
        <v>136276</v>
      </c>
      <c r="R39" s="169" t="str">
        <f t="shared" si="5"/>
        <v>expando - 136276</v>
      </c>
      <c r="S39" s="169">
        <v>300319</v>
      </c>
      <c r="T39" s="169" t="str">
        <f t="shared" si="6"/>
        <v>direct screw - 300319</v>
      </c>
      <c r="U39" s="169" t="s">
        <v>3090</v>
      </c>
      <c r="V39" s="169" t="str">
        <f t="shared" si="7"/>
        <v>direct euroscrew - N/A</v>
      </c>
      <c r="W39" s="169" t="s">
        <v>3090</v>
      </c>
      <c r="X39" s="169" t="str">
        <f t="shared" si="8"/>
        <v>direct expando - N/A</v>
      </c>
      <c r="Y39" s="168"/>
      <c r="Z39" s="168"/>
    </row>
    <row r="40" spans="1:26" ht="15">
      <c r="A40" s="168" t="s">
        <v>2048</v>
      </c>
      <c r="B40" s="168" t="s">
        <v>989</v>
      </c>
      <c r="C40" s="168" t="str">
        <f>'Translate&amp;Prices&amp;Logo'!B553</f>
        <v>Overlay</v>
      </c>
      <c r="D40" s="166" t="str">
        <f t="shared" si="0"/>
        <v>široký_HETTICH_Naložený</v>
      </c>
      <c r="E40" s="168" t="str">
        <f>'Translate&amp;Prices&amp;Logo'!$B$584</f>
        <v>tip-on without spring / damping</v>
      </c>
      <c r="F40" s="168" t="str">
        <f>'Translate&amp;Prices&amp;Logo'!$B$585</f>
        <v>silver</v>
      </c>
      <c r="G40" s="168" t="str">
        <f t="shared" si="10"/>
        <v>245723 - Overlay tip-on without spring / damping - silver</v>
      </c>
      <c r="H40" s="169" t="s">
        <v>2046</v>
      </c>
      <c r="I40" s="169">
        <v>245723</v>
      </c>
      <c r="J40" s="169" t="s">
        <v>2046</v>
      </c>
      <c r="K40" s="169">
        <v>106403</v>
      </c>
      <c r="L40" s="169" t="str">
        <f t="shared" si="2"/>
        <v>cross screw - 106403</v>
      </c>
      <c r="M40" s="169" t="s">
        <v>3090</v>
      </c>
      <c r="N40" s="169" t="str">
        <f t="shared" si="3"/>
        <v>on screw (w/ cam adjust) - N/A</v>
      </c>
      <c r="O40" s="169">
        <v>119240</v>
      </c>
      <c r="P40" s="169" t="str">
        <f t="shared" si="4"/>
        <v>euroscrew - 119240</v>
      </c>
      <c r="Q40" s="169">
        <v>136276</v>
      </c>
      <c r="R40" s="169" t="str">
        <f t="shared" si="5"/>
        <v>expando - 136276</v>
      </c>
      <c r="S40" s="169">
        <v>300319</v>
      </c>
      <c r="T40" s="169" t="str">
        <f t="shared" si="6"/>
        <v>direct screw - 300319</v>
      </c>
      <c r="U40" s="169" t="s">
        <v>3090</v>
      </c>
      <c r="V40" s="169" t="str">
        <f t="shared" si="7"/>
        <v>direct euroscrew - N/A</v>
      </c>
      <c r="W40" s="169" t="s">
        <v>3090</v>
      </c>
      <c r="X40" s="169" t="str">
        <f t="shared" si="8"/>
        <v>direct expando - N/A</v>
      </c>
      <c r="Y40" s="168"/>
      <c r="Z40" s="168"/>
    </row>
    <row r="41" spans="1:26" ht="15">
      <c r="A41" s="168" t="s">
        <v>2048</v>
      </c>
      <c r="B41" s="168" t="s">
        <v>989</v>
      </c>
      <c r="C41" s="168" t="str">
        <f>'Translate&amp;Prices&amp;Logo'!B553</f>
        <v>Overlay</v>
      </c>
      <c r="D41" s="166" t="str">
        <f t="shared" si="0"/>
        <v>široký_HETTICH_Naložený</v>
      </c>
      <c r="E41" s="168" t="str">
        <f>'Translate&amp;Prices&amp;Logo'!$B$584</f>
        <v>tip-on without spring / damping</v>
      </c>
      <c r="F41" s="168" t="str">
        <f>'Translate&amp;Prices&amp;Logo'!$B$586</f>
        <v>black</v>
      </c>
      <c r="G41" s="168" t="str">
        <f t="shared" si="10"/>
        <v>344694 - Overlay tip-on without spring / damping - black</v>
      </c>
      <c r="H41" s="169" t="s">
        <v>2046</v>
      </c>
      <c r="I41" s="169">
        <v>344694</v>
      </c>
      <c r="J41" s="169" t="s">
        <v>2046</v>
      </c>
      <c r="K41" s="169" t="s">
        <v>3090</v>
      </c>
      <c r="L41" s="169" t="str">
        <f t="shared" si="2"/>
        <v>cross screw - N/A</v>
      </c>
      <c r="M41" s="169" t="s">
        <v>3090</v>
      </c>
      <c r="N41" s="169" t="str">
        <f t="shared" si="3"/>
        <v>on screw (w/ cam adjust) - N/A</v>
      </c>
      <c r="O41" s="169">
        <v>344723</v>
      </c>
      <c r="P41" s="169" t="str">
        <f t="shared" si="4"/>
        <v>euroscrew - 344723</v>
      </c>
      <c r="Q41" s="169">
        <v>344727</v>
      </c>
      <c r="R41" s="169" t="str">
        <f t="shared" si="5"/>
        <v>expando - 344727</v>
      </c>
      <c r="S41" s="169">
        <v>397949</v>
      </c>
      <c r="T41" s="169" t="str">
        <f t="shared" si="6"/>
        <v>direct screw - 397949</v>
      </c>
      <c r="U41" s="169" t="s">
        <v>3090</v>
      </c>
      <c r="V41" s="169" t="str">
        <f t="shared" si="7"/>
        <v>direct euroscrew - N/A</v>
      </c>
      <c r="W41" s="169" t="s">
        <v>3090</v>
      </c>
      <c r="X41" s="169" t="str">
        <f t="shared" si="8"/>
        <v>direct expando - N/A</v>
      </c>
      <c r="Y41" s="168"/>
      <c r="Z41" s="168"/>
    </row>
    <row r="42" spans="1:26" ht="15">
      <c r="A42" s="173" t="s">
        <v>2048</v>
      </c>
      <c r="B42" s="173" t="s">
        <v>989</v>
      </c>
      <c r="C42" s="173" t="str">
        <f>'Translate&amp;Prices&amp;Logo'!B554</f>
        <v>Half-overlay</v>
      </c>
      <c r="D42" s="166" t="str">
        <f t="shared" si="0"/>
        <v>široký_HETTICH_Polonaložený</v>
      </c>
      <c r="E42" s="173" t="str">
        <f>'Translate&amp;Prices&amp;Logo'!$B$582</f>
        <v>with spring and damping</v>
      </c>
      <c r="F42" s="168" t="str">
        <f>'Translate&amp;Prices&amp;Logo'!$B$585</f>
        <v>silver</v>
      </c>
      <c r="G42" s="168" t="str">
        <f t="shared" si="10"/>
        <v>104718 - Half-overlay with spring and damping - silver</v>
      </c>
      <c r="H42" s="169" t="s">
        <v>2046</v>
      </c>
      <c r="I42" s="169">
        <v>104718</v>
      </c>
      <c r="J42" s="169" t="s">
        <v>2046</v>
      </c>
      <c r="K42" s="169">
        <v>106403</v>
      </c>
      <c r="L42" s="169" t="str">
        <f t="shared" si="2"/>
        <v>cross screw - 106403</v>
      </c>
      <c r="M42" s="169" t="s">
        <v>3090</v>
      </c>
      <c r="N42" s="169" t="str">
        <f t="shared" si="3"/>
        <v>on screw (w/ cam adjust) - N/A</v>
      </c>
      <c r="O42" s="169">
        <v>119240</v>
      </c>
      <c r="P42" s="169" t="str">
        <f t="shared" si="4"/>
        <v>euroscrew - 119240</v>
      </c>
      <c r="Q42" s="169">
        <v>136276</v>
      </c>
      <c r="R42" s="169" t="str">
        <f t="shared" si="5"/>
        <v>expando - 136276</v>
      </c>
      <c r="S42" s="169">
        <v>300319</v>
      </c>
      <c r="T42" s="169" t="str">
        <f t="shared" si="6"/>
        <v>direct screw - 300319</v>
      </c>
      <c r="U42" s="169" t="s">
        <v>3090</v>
      </c>
      <c r="V42" s="169" t="str">
        <f t="shared" si="7"/>
        <v>direct euroscrew - N/A</v>
      </c>
      <c r="W42" s="169" t="s">
        <v>3090</v>
      </c>
      <c r="X42" s="169" t="str">
        <f t="shared" si="8"/>
        <v>direct expando - N/A</v>
      </c>
      <c r="Y42" s="168"/>
      <c r="Z42" s="168"/>
    </row>
    <row r="43" spans="1:26" ht="15">
      <c r="A43" s="173" t="s">
        <v>2048</v>
      </c>
      <c r="B43" s="173" t="s">
        <v>989</v>
      </c>
      <c r="C43" s="173" t="str">
        <f>'Translate&amp;Prices&amp;Logo'!B554</f>
        <v>Half-overlay</v>
      </c>
      <c r="D43" s="166" t="str">
        <f t="shared" si="0"/>
        <v>široký_HETTICH_Polonaložený</v>
      </c>
      <c r="E43" s="173" t="str">
        <f>'Translate&amp;Prices&amp;Logo'!$B$582</f>
        <v>with spring and damping</v>
      </c>
      <c r="F43" s="168" t="str">
        <f>'Translate&amp;Prices&amp;Logo'!$B$586</f>
        <v>black</v>
      </c>
      <c r="G43" s="168" t="str">
        <f t="shared" si="10"/>
        <v>344692 - Half-overlay with spring and damping - black</v>
      </c>
      <c r="H43" s="169" t="s">
        <v>2046</v>
      </c>
      <c r="I43" s="169">
        <v>344692</v>
      </c>
      <c r="J43" s="169" t="s">
        <v>2046</v>
      </c>
      <c r="K43" s="169" t="s">
        <v>3090</v>
      </c>
      <c r="L43" s="169" t="str">
        <f t="shared" si="2"/>
        <v>cross screw - N/A</v>
      </c>
      <c r="M43" s="169" t="s">
        <v>3090</v>
      </c>
      <c r="N43" s="169" t="str">
        <f t="shared" si="3"/>
        <v>on screw (w/ cam adjust) - N/A</v>
      </c>
      <c r="O43" s="169">
        <v>344723</v>
      </c>
      <c r="P43" s="169" t="str">
        <f t="shared" si="4"/>
        <v>euroscrew - 344723</v>
      </c>
      <c r="Q43" s="169">
        <v>344727</v>
      </c>
      <c r="R43" s="169" t="str">
        <f t="shared" si="5"/>
        <v>expando - 344727</v>
      </c>
      <c r="S43" s="169">
        <v>397949</v>
      </c>
      <c r="T43" s="169" t="str">
        <f t="shared" si="6"/>
        <v>direct screw - 397949</v>
      </c>
      <c r="U43" s="169" t="s">
        <v>3090</v>
      </c>
      <c r="V43" s="169" t="str">
        <f t="shared" si="7"/>
        <v>direct euroscrew - N/A</v>
      </c>
      <c r="W43" s="169" t="s">
        <v>3090</v>
      </c>
      <c r="X43" s="169" t="str">
        <f t="shared" si="8"/>
        <v>direct expando - N/A</v>
      </c>
      <c r="Y43" s="168"/>
      <c r="Z43" s="168"/>
    </row>
    <row r="44" spans="1:26" ht="15">
      <c r="A44" s="173" t="s">
        <v>2048</v>
      </c>
      <c r="B44" s="173" t="s">
        <v>989</v>
      </c>
      <c r="C44" s="173" t="str">
        <f>'Translate&amp;Prices&amp;Logo'!B554</f>
        <v>Half-overlay</v>
      </c>
      <c r="D44" s="166" t="str">
        <f t="shared" si="0"/>
        <v>široký_HETTICH_Polonaložený</v>
      </c>
      <c r="E44" s="173" t="str">
        <f>'Translate&amp;Prices&amp;Logo'!$B$583</f>
        <v>without damping</v>
      </c>
      <c r="F44" s="168" t="str">
        <f>'Translate&amp;Prices&amp;Logo'!$B$585</f>
        <v>silver</v>
      </c>
      <c r="G44" s="168" t="str">
        <f t="shared" si="10"/>
        <v>232347 - Half-overlay without damping - silver</v>
      </c>
      <c r="H44" s="169" t="s">
        <v>2046</v>
      </c>
      <c r="I44" s="169">
        <v>232347</v>
      </c>
      <c r="J44" s="169" t="s">
        <v>2046</v>
      </c>
      <c r="K44" s="169">
        <v>106403</v>
      </c>
      <c r="L44" s="169" t="str">
        <f t="shared" si="2"/>
        <v>cross screw - 106403</v>
      </c>
      <c r="M44" s="169" t="s">
        <v>3090</v>
      </c>
      <c r="N44" s="169" t="str">
        <f t="shared" si="3"/>
        <v>on screw (w/ cam adjust) - N/A</v>
      </c>
      <c r="O44" s="169">
        <v>119240</v>
      </c>
      <c r="P44" s="169" t="str">
        <f t="shared" si="4"/>
        <v>euroscrew - 119240</v>
      </c>
      <c r="Q44" s="169">
        <v>136276</v>
      </c>
      <c r="R44" s="169" t="str">
        <f t="shared" si="5"/>
        <v>expando - 136276</v>
      </c>
      <c r="S44" s="169">
        <v>300319</v>
      </c>
      <c r="T44" s="169" t="str">
        <f t="shared" si="6"/>
        <v>direct screw - 300319</v>
      </c>
      <c r="U44" s="169" t="s">
        <v>3090</v>
      </c>
      <c r="V44" s="169" t="str">
        <f t="shared" si="7"/>
        <v>direct euroscrew - N/A</v>
      </c>
      <c r="W44" s="169" t="s">
        <v>3090</v>
      </c>
      <c r="X44" s="169" t="str">
        <f t="shared" si="8"/>
        <v>direct expando - N/A</v>
      </c>
      <c r="Y44" s="168"/>
      <c r="Z44" s="168"/>
    </row>
    <row r="45" spans="1:26" ht="15">
      <c r="A45" s="173" t="s">
        <v>2048</v>
      </c>
      <c r="B45" s="173" t="s">
        <v>989</v>
      </c>
      <c r="C45" s="173" t="str">
        <f>'Translate&amp;Prices&amp;Logo'!B554</f>
        <v>Half-overlay</v>
      </c>
      <c r="D45" s="166" t="str">
        <f t="shared" si="0"/>
        <v>široký_HETTICH_Polonaložený</v>
      </c>
      <c r="E45" s="173" t="str">
        <f>'Translate&amp;Prices&amp;Logo'!$B$584</f>
        <v>tip-on without spring / damping</v>
      </c>
      <c r="F45" s="168" t="str">
        <f>'Translate&amp;Prices&amp;Logo'!$B$585</f>
        <v>silver</v>
      </c>
      <c r="G45" s="168" t="str">
        <f t="shared" si="10"/>
        <v>245724 - Half-overlay tip-on without spring / damping - silver</v>
      </c>
      <c r="H45" s="169" t="s">
        <v>2046</v>
      </c>
      <c r="I45" s="169">
        <v>245724</v>
      </c>
      <c r="J45" s="169" t="s">
        <v>2046</v>
      </c>
      <c r="K45" s="169">
        <v>106403</v>
      </c>
      <c r="L45" s="169" t="str">
        <f t="shared" si="2"/>
        <v>cross screw - 106403</v>
      </c>
      <c r="M45" s="169" t="s">
        <v>3090</v>
      </c>
      <c r="N45" s="169" t="str">
        <f t="shared" si="3"/>
        <v>on screw (w/ cam adjust) - N/A</v>
      </c>
      <c r="O45" s="169">
        <v>119240</v>
      </c>
      <c r="P45" s="169" t="str">
        <f t="shared" si="4"/>
        <v>euroscrew - 119240</v>
      </c>
      <c r="Q45" s="169">
        <v>136276</v>
      </c>
      <c r="R45" s="169" t="str">
        <f t="shared" si="5"/>
        <v>expando - 136276</v>
      </c>
      <c r="S45" s="169">
        <v>300319</v>
      </c>
      <c r="T45" s="169" t="str">
        <f t="shared" si="6"/>
        <v>direct screw - 300319</v>
      </c>
      <c r="U45" s="169" t="s">
        <v>3090</v>
      </c>
      <c r="V45" s="169" t="str">
        <f t="shared" si="7"/>
        <v>direct euroscrew - N/A</v>
      </c>
      <c r="W45" s="169" t="s">
        <v>3090</v>
      </c>
      <c r="X45" s="169" t="str">
        <f t="shared" si="8"/>
        <v>direct expando - N/A</v>
      </c>
      <c r="Y45" s="168"/>
      <c r="Z45" s="168"/>
    </row>
    <row r="46" spans="1:26" ht="15">
      <c r="A46" s="173" t="s">
        <v>2048</v>
      </c>
      <c r="B46" s="173" t="s">
        <v>989</v>
      </c>
      <c r="C46" s="173" t="str">
        <f>'Translate&amp;Prices&amp;Logo'!B554</f>
        <v>Half-overlay</v>
      </c>
      <c r="D46" s="166" t="str">
        <f t="shared" si="0"/>
        <v>široký_HETTICH_Polonaložený</v>
      </c>
      <c r="E46" s="173" t="str">
        <f>'Translate&amp;Prices&amp;Logo'!$B$584</f>
        <v>tip-on without spring / damping</v>
      </c>
      <c r="F46" s="168" t="str">
        <f>'Translate&amp;Prices&amp;Logo'!$B$586</f>
        <v>black</v>
      </c>
      <c r="G46" s="168" t="str">
        <f t="shared" si="10"/>
        <v>344695 - Half-overlay tip-on without spring / damping - black</v>
      </c>
      <c r="H46" s="169" t="s">
        <v>2046</v>
      </c>
      <c r="I46" s="169">
        <v>344695</v>
      </c>
      <c r="J46" s="169" t="s">
        <v>2046</v>
      </c>
      <c r="K46" s="169" t="s">
        <v>3090</v>
      </c>
      <c r="L46" s="169" t="str">
        <f t="shared" si="2"/>
        <v>cross screw - N/A</v>
      </c>
      <c r="M46" s="169" t="s">
        <v>3090</v>
      </c>
      <c r="N46" s="169" t="str">
        <f t="shared" si="3"/>
        <v>on screw (w/ cam adjust) - N/A</v>
      </c>
      <c r="O46" s="169">
        <v>344723</v>
      </c>
      <c r="P46" s="169" t="str">
        <f t="shared" si="4"/>
        <v>euroscrew - 344723</v>
      </c>
      <c r="Q46" s="169">
        <v>344727</v>
      </c>
      <c r="R46" s="169" t="str">
        <f t="shared" si="5"/>
        <v>expando - 344727</v>
      </c>
      <c r="S46" s="169">
        <v>397949</v>
      </c>
      <c r="T46" s="169" t="str">
        <f t="shared" si="6"/>
        <v>direct screw - 397949</v>
      </c>
      <c r="U46" s="169" t="s">
        <v>3090</v>
      </c>
      <c r="V46" s="169" t="str">
        <f t="shared" si="7"/>
        <v>direct euroscrew - N/A</v>
      </c>
      <c r="W46" s="169" t="s">
        <v>3090</v>
      </c>
      <c r="X46" s="169" t="str">
        <f t="shared" si="8"/>
        <v>direct expando - N/A</v>
      </c>
      <c r="Y46" s="168"/>
      <c r="Z46" s="168"/>
    </row>
    <row r="47" spans="1:26" ht="15">
      <c r="A47" s="168" t="s">
        <v>2048</v>
      </c>
      <c r="B47" s="168" t="s">
        <v>989</v>
      </c>
      <c r="C47" s="168" t="str">
        <f>'Translate&amp;Prices&amp;Logo'!B555</f>
        <v>Inset</v>
      </c>
      <c r="D47" s="166" t="str">
        <f t="shared" si="0"/>
        <v>široký_HETTICH_Vložený</v>
      </c>
      <c r="E47" s="168" t="str">
        <f>'Translate&amp;Prices&amp;Logo'!$B$582</f>
        <v>with spring and damping</v>
      </c>
      <c r="F47" s="168" t="str">
        <f>'Translate&amp;Prices&amp;Logo'!$B$585</f>
        <v>silver</v>
      </c>
      <c r="G47" s="168" t="str">
        <f t="shared" si="10"/>
        <v>104719 - Inset with spring and damping - silver</v>
      </c>
      <c r="H47" s="169" t="s">
        <v>2046</v>
      </c>
      <c r="I47" s="169">
        <v>104719</v>
      </c>
      <c r="J47" s="169" t="s">
        <v>2046</v>
      </c>
      <c r="K47" s="169">
        <v>106403</v>
      </c>
      <c r="L47" s="169" t="str">
        <f t="shared" si="2"/>
        <v>cross screw - 106403</v>
      </c>
      <c r="M47" s="169" t="s">
        <v>3090</v>
      </c>
      <c r="N47" s="169" t="str">
        <f t="shared" si="3"/>
        <v>on screw (w/ cam adjust) - N/A</v>
      </c>
      <c r="O47" s="169">
        <v>119240</v>
      </c>
      <c r="P47" s="169" t="str">
        <f t="shared" si="4"/>
        <v>euroscrew - 119240</v>
      </c>
      <c r="Q47" s="169">
        <v>136276</v>
      </c>
      <c r="R47" s="169" t="str">
        <f t="shared" si="5"/>
        <v>expando - 136276</v>
      </c>
      <c r="S47" s="169">
        <v>300319</v>
      </c>
      <c r="T47" s="169" t="str">
        <f t="shared" si="6"/>
        <v>direct screw - 300319</v>
      </c>
      <c r="U47" s="169" t="s">
        <v>3090</v>
      </c>
      <c r="V47" s="169" t="str">
        <f t="shared" si="7"/>
        <v>direct euroscrew - N/A</v>
      </c>
      <c r="W47" s="169" t="s">
        <v>3090</v>
      </c>
      <c r="X47" s="169" t="str">
        <f t="shared" si="8"/>
        <v>direct expando - N/A</v>
      </c>
      <c r="Y47" s="168"/>
      <c r="Z47" s="168"/>
    </row>
    <row r="48" spans="1:26" ht="15">
      <c r="A48" s="168" t="s">
        <v>2048</v>
      </c>
      <c r="B48" s="168" t="s">
        <v>989</v>
      </c>
      <c r="C48" s="168" t="str">
        <f>'Translate&amp;Prices&amp;Logo'!B555</f>
        <v>Inset</v>
      </c>
      <c r="D48" s="166" t="str">
        <f t="shared" si="0"/>
        <v>široký_HETTICH_Vložený</v>
      </c>
      <c r="E48" s="168" t="str">
        <f>'Translate&amp;Prices&amp;Logo'!$B$582</f>
        <v>with spring and damping</v>
      </c>
      <c r="F48" s="168" t="str">
        <f>'Translate&amp;Prices&amp;Logo'!$B$586</f>
        <v>black</v>
      </c>
      <c r="G48" s="168" t="str">
        <f t="shared" si="10"/>
        <v>344693 - Inset with spring and damping - black</v>
      </c>
      <c r="H48" s="169" t="s">
        <v>2046</v>
      </c>
      <c r="I48" s="169">
        <v>344693</v>
      </c>
      <c r="J48" s="169" t="s">
        <v>2046</v>
      </c>
      <c r="K48" s="169" t="s">
        <v>3090</v>
      </c>
      <c r="L48" s="169" t="str">
        <f t="shared" si="2"/>
        <v>cross screw - N/A</v>
      </c>
      <c r="M48" s="169" t="s">
        <v>3090</v>
      </c>
      <c r="N48" s="169" t="str">
        <f t="shared" si="3"/>
        <v>on screw (w/ cam adjust) - N/A</v>
      </c>
      <c r="O48" s="169">
        <v>344723</v>
      </c>
      <c r="P48" s="169" t="str">
        <f t="shared" si="4"/>
        <v>euroscrew - 344723</v>
      </c>
      <c r="Q48" s="169">
        <v>344727</v>
      </c>
      <c r="R48" s="169" t="str">
        <f t="shared" si="5"/>
        <v>expando - 344727</v>
      </c>
      <c r="S48" s="169">
        <v>397949</v>
      </c>
      <c r="T48" s="169" t="str">
        <f t="shared" si="6"/>
        <v>direct screw - 397949</v>
      </c>
      <c r="U48" s="169" t="s">
        <v>3090</v>
      </c>
      <c r="V48" s="169" t="str">
        <f t="shared" si="7"/>
        <v>direct euroscrew - N/A</v>
      </c>
      <c r="W48" s="169" t="s">
        <v>3090</v>
      </c>
      <c r="X48" s="169" t="str">
        <f t="shared" si="8"/>
        <v>direct expando - N/A</v>
      </c>
      <c r="Y48" s="168"/>
      <c r="Z48" s="168"/>
    </row>
    <row r="49" spans="1:26" ht="15">
      <c r="A49" s="168" t="s">
        <v>2048</v>
      </c>
      <c r="B49" s="168" t="s">
        <v>989</v>
      </c>
      <c r="C49" s="168" t="str">
        <f>'Translate&amp;Prices&amp;Logo'!B555</f>
        <v>Inset</v>
      </c>
      <c r="D49" s="166" t="str">
        <f t="shared" si="0"/>
        <v>široký_HETTICH_Vložený</v>
      </c>
      <c r="E49" s="168" t="str">
        <f>'Translate&amp;Prices&amp;Logo'!$B$583</f>
        <v>without damping</v>
      </c>
      <c r="F49" s="168" t="str">
        <f>'Translate&amp;Prices&amp;Logo'!$B$585</f>
        <v>silver</v>
      </c>
      <c r="G49" s="168" t="str">
        <f t="shared" si="10"/>
        <v>232348 - Inset without damping - silver</v>
      </c>
      <c r="H49" s="169" t="s">
        <v>2046</v>
      </c>
      <c r="I49" s="169">
        <v>232348</v>
      </c>
      <c r="J49" s="169" t="s">
        <v>2046</v>
      </c>
      <c r="K49" s="169">
        <v>106403</v>
      </c>
      <c r="L49" s="169" t="str">
        <f t="shared" si="2"/>
        <v>cross screw - 106403</v>
      </c>
      <c r="M49" s="169" t="s">
        <v>3090</v>
      </c>
      <c r="N49" s="169" t="str">
        <f t="shared" si="3"/>
        <v>on screw (w/ cam adjust) - N/A</v>
      </c>
      <c r="O49" s="169">
        <v>119240</v>
      </c>
      <c r="P49" s="169" t="str">
        <f t="shared" si="4"/>
        <v>euroscrew - 119240</v>
      </c>
      <c r="Q49" s="169">
        <v>136276</v>
      </c>
      <c r="R49" s="169" t="str">
        <f t="shared" si="5"/>
        <v>expando - 136276</v>
      </c>
      <c r="S49" s="169">
        <v>300319</v>
      </c>
      <c r="T49" s="169" t="str">
        <f t="shared" si="6"/>
        <v>direct screw - 300319</v>
      </c>
      <c r="U49" s="169" t="s">
        <v>3090</v>
      </c>
      <c r="V49" s="169" t="str">
        <f t="shared" si="7"/>
        <v>direct euroscrew - N/A</v>
      </c>
      <c r="W49" s="169" t="s">
        <v>3090</v>
      </c>
      <c r="X49" s="169" t="str">
        <f t="shared" si="8"/>
        <v>direct expando - N/A</v>
      </c>
      <c r="Y49" s="168"/>
      <c r="Z49" s="168"/>
    </row>
    <row r="50" spans="1:26" ht="15">
      <c r="A50" s="168" t="s">
        <v>2048</v>
      </c>
      <c r="B50" s="168" t="s">
        <v>989</v>
      </c>
      <c r="C50" s="168" t="str">
        <f>'Translate&amp;Prices&amp;Logo'!B555</f>
        <v>Inset</v>
      </c>
      <c r="D50" s="166" t="str">
        <f t="shared" si="0"/>
        <v>široký_HETTICH_Vložený</v>
      </c>
      <c r="E50" s="168" t="str">
        <f>'Translate&amp;Prices&amp;Logo'!$B$584</f>
        <v>tip-on without spring / damping</v>
      </c>
      <c r="F50" s="168" t="str">
        <f>'Translate&amp;Prices&amp;Logo'!$B$585</f>
        <v>silver</v>
      </c>
      <c r="G50" s="168" t="str">
        <f t="shared" si="10"/>
        <v>245725 - Inset tip-on without spring / damping - silver</v>
      </c>
      <c r="H50" s="169" t="s">
        <v>2046</v>
      </c>
      <c r="I50" s="169">
        <v>245725</v>
      </c>
      <c r="J50" s="169" t="s">
        <v>2046</v>
      </c>
      <c r="K50" s="169">
        <v>106403</v>
      </c>
      <c r="L50" s="169" t="str">
        <f t="shared" si="2"/>
        <v>cross screw - 106403</v>
      </c>
      <c r="M50" s="169" t="s">
        <v>3090</v>
      </c>
      <c r="N50" s="169" t="str">
        <f t="shared" si="3"/>
        <v>on screw (w/ cam adjust) - N/A</v>
      </c>
      <c r="O50" s="169">
        <v>119240</v>
      </c>
      <c r="P50" s="169" t="str">
        <f t="shared" si="4"/>
        <v>euroscrew - 119240</v>
      </c>
      <c r="Q50" s="169">
        <v>136276</v>
      </c>
      <c r="R50" s="169" t="str">
        <f t="shared" si="5"/>
        <v>expando - 136276</v>
      </c>
      <c r="S50" s="169">
        <v>300319</v>
      </c>
      <c r="T50" s="169" t="str">
        <f t="shared" si="6"/>
        <v>direct screw - 300319</v>
      </c>
      <c r="U50" s="169" t="s">
        <v>3090</v>
      </c>
      <c r="V50" s="169" t="str">
        <f t="shared" si="7"/>
        <v>direct euroscrew - N/A</v>
      </c>
      <c r="W50" s="169" t="s">
        <v>3090</v>
      </c>
      <c r="X50" s="169" t="str">
        <f t="shared" si="8"/>
        <v>direct expando - N/A</v>
      </c>
      <c r="Y50" s="168"/>
      <c r="Z50" s="168"/>
    </row>
    <row r="51" spans="1:26" ht="15">
      <c r="A51" s="168" t="s">
        <v>2048</v>
      </c>
      <c r="B51" s="168" t="s">
        <v>989</v>
      </c>
      <c r="C51" s="168" t="str">
        <f>'Translate&amp;Prices&amp;Logo'!B555</f>
        <v>Inset</v>
      </c>
      <c r="D51" s="166" t="str">
        <f t="shared" si="0"/>
        <v>široký_HETTICH_Vložený</v>
      </c>
      <c r="E51" s="168" t="str">
        <f>'Translate&amp;Prices&amp;Logo'!$B$584</f>
        <v>tip-on without spring / damping</v>
      </c>
      <c r="F51" s="168" t="str">
        <f>'Translate&amp;Prices&amp;Logo'!$B$586</f>
        <v>black</v>
      </c>
      <c r="G51" s="168" t="str">
        <f t="shared" si="10"/>
        <v>344696 - Inset tip-on without spring / damping - black</v>
      </c>
      <c r="H51" s="169" t="s">
        <v>2046</v>
      </c>
      <c r="I51" s="169">
        <v>344696</v>
      </c>
      <c r="J51" s="169" t="s">
        <v>2046</v>
      </c>
      <c r="K51" s="169" t="s">
        <v>3090</v>
      </c>
      <c r="L51" s="169" t="str">
        <f t="shared" si="2"/>
        <v>cross screw - N/A</v>
      </c>
      <c r="M51" s="169" t="s">
        <v>3090</v>
      </c>
      <c r="N51" s="169" t="str">
        <f t="shared" si="3"/>
        <v>on screw (w/ cam adjust) - N/A</v>
      </c>
      <c r="O51" s="169">
        <v>344723</v>
      </c>
      <c r="P51" s="169" t="str">
        <f t="shared" si="4"/>
        <v>euroscrew - 344723</v>
      </c>
      <c r="Q51" s="169">
        <v>344727</v>
      </c>
      <c r="R51" s="169" t="str">
        <f t="shared" si="5"/>
        <v>expando - 344727</v>
      </c>
      <c r="S51" s="169">
        <v>397949</v>
      </c>
      <c r="T51" s="169" t="str">
        <f t="shared" si="6"/>
        <v>direct screw - 397949</v>
      </c>
      <c r="U51" s="169" t="s">
        <v>3090</v>
      </c>
      <c r="V51" s="169" t="str">
        <f t="shared" si="7"/>
        <v>direct euroscrew - N/A</v>
      </c>
      <c r="W51" s="169" t="s">
        <v>3090</v>
      </c>
      <c r="X51" s="169" t="str">
        <f t="shared" si="8"/>
        <v>direct expando - N/A</v>
      </c>
      <c r="Y51" s="168"/>
      <c r="Z51" s="168"/>
    </row>
    <row r="52" spans="1:26" ht="15">
      <c r="A52" s="173" t="s">
        <v>2048</v>
      </c>
      <c r="B52" s="173" t="s">
        <v>85</v>
      </c>
      <c r="C52" s="173" t="str">
        <f>'Translate&amp;Prices&amp;Logo'!B553</f>
        <v>Overlay</v>
      </c>
      <c r="D52" s="166" t="str">
        <f t="shared" si="0"/>
        <v>široký_STRONG_Naložený</v>
      </c>
      <c r="E52" s="173" t="str">
        <f>'Translate&amp;Prices&amp;Logo'!$B$582</f>
        <v>with spring and damping</v>
      </c>
      <c r="F52" s="168" t="str">
        <f>'Translate&amp;Prices&amp;Logo'!$B$585</f>
        <v>silver</v>
      </c>
      <c r="G52" s="168" t="str">
        <f t="shared" si="10"/>
        <v>92580T - Overlay with spring and damping - silver</v>
      </c>
      <c r="H52" s="169" t="s">
        <v>2046</v>
      </c>
      <c r="I52" s="169" t="s">
        <v>87</v>
      </c>
      <c r="J52" s="169" t="s">
        <v>2046</v>
      </c>
      <c r="K52" s="169" t="s">
        <v>86</v>
      </c>
      <c r="L52" s="169" t="str">
        <f>CONCATENATE($K$1," - ",K52)</f>
        <v>cross screw - 92590T</v>
      </c>
      <c r="M52" s="169" t="s">
        <v>90</v>
      </c>
      <c r="N52" s="169" t="str">
        <f t="shared" si="3"/>
        <v>on screw (w/ cam adjust) - 92594T</v>
      </c>
      <c r="O52" s="169" t="s">
        <v>92</v>
      </c>
      <c r="P52" s="169" t="str">
        <f t="shared" si="4"/>
        <v>euroscrew - 92591T</v>
      </c>
      <c r="Q52" s="169" t="s">
        <v>3090</v>
      </c>
      <c r="R52" s="169" t="str">
        <f t="shared" si="5"/>
        <v>expando - N/A</v>
      </c>
      <c r="S52" s="169" t="s">
        <v>3090</v>
      </c>
      <c r="T52" s="169" t="str">
        <f t="shared" si="6"/>
        <v>direct screw - N/A</v>
      </c>
      <c r="U52" s="169" t="s">
        <v>3090</v>
      </c>
      <c r="V52" s="169" t="str">
        <f t="shared" si="7"/>
        <v>direct euroscrew - N/A</v>
      </c>
      <c r="W52" s="169" t="s">
        <v>3090</v>
      </c>
      <c r="X52" s="169" t="str">
        <f t="shared" si="8"/>
        <v>direct expando - N/A</v>
      </c>
      <c r="Y52" s="168"/>
      <c r="Z52" s="168"/>
    </row>
    <row r="53" spans="1:26" ht="15">
      <c r="A53" s="173" t="s">
        <v>2048</v>
      </c>
      <c r="B53" s="173" t="s">
        <v>85</v>
      </c>
      <c r="C53" s="173" t="str">
        <f>'Translate&amp;Prices&amp;Logo'!B553</f>
        <v>Overlay</v>
      </c>
      <c r="D53" s="166" t="str">
        <f t="shared" si="0"/>
        <v>široký_STRONG_Naložený</v>
      </c>
      <c r="E53" s="173" t="str">
        <f>'Translate&amp;Prices&amp;Logo'!$B$583</f>
        <v>without damping</v>
      </c>
      <c r="F53" s="168" t="str">
        <f>'Translate&amp;Prices&amp;Logo'!$B$585</f>
        <v>silver</v>
      </c>
      <c r="G53" s="168" t="str">
        <f t="shared" si="10"/>
        <v>198818 - Overlay without damping - silver</v>
      </c>
      <c r="H53" s="169" t="s">
        <v>2046</v>
      </c>
      <c r="I53" s="169">
        <v>198818</v>
      </c>
      <c r="J53" s="169" t="s">
        <v>2046</v>
      </c>
      <c r="K53" s="169" t="s">
        <v>86</v>
      </c>
      <c r="L53" s="169" t="str">
        <f>CONCATENATE($K$1," - ",K53)</f>
        <v>cross screw - 92590T</v>
      </c>
      <c r="M53" s="169" t="s">
        <v>90</v>
      </c>
      <c r="N53" s="169" t="str">
        <f t="shared" si="3"/>
        <v>on screw (w/ cam adjust) - 92594T</v>
      </c>
      <c r="O53" s="169" t="s">
        <v>92</v>
      </c>
      <c r="P53" s="169" t="str">
        <f t="shared" si="4"/>
        <v>euroscrew - 92591T</v>
      </c>
      <c r="Q53" s="169" t="s">
        <v>3090</v>
      </c>
      <c r="R53" s="169" t="str">
        <f t="shared" si="5"/>
        <v>expando - N/A</v>
      </c>
      <c r="S53" s="169" t="s">
        <v>3090</v>
      </c>
      <c r="T53" s="169" t="str">
        <f t="shared" si="6"/>
        <v>direct screw - N/A</v>
      </c>
      <c r="U53" s="169" t="s">
        <v>3090</v>
      </c>
      <c r="V53" s="169" t="str">
        <f t="shared" si="7"/>
        <v>direct euroscrew - N/A</v>
      </c>
      <c r="W53" s="169" t="s">
        <v>3090</v>
      </c>
      <c r="X53" s="169" t="str">
        <f t="shared" si="8"/>
        <v>direct expando - N/A</v>
      </c>
      <c r="Y53" s="168"/>
      <c r="Z53" s="168"/>
    </row>
    <row r="54" spans="1:26" ht="15">
      <c r="A54" s="168" t="s">
        <v>2048</v>
      </c>
      <c r="B54" s="168" t="s">
        <v>85</v>
      </c>
      <c r="C54" s="168" t="str">
        <f>'Translate&amp;Prices&amp;Logo'!B554</f>
        <v>Half-overlay</v>
      </c>
      <c r="D54" s="166" t="str">
        <f t="shared" si="0"/>
        <v>široký_STRONG_Polonaložený</v>
      </c>
      <c r="E54" s="168" t="str">
        <f>'Translate&amp;Prices&amp;Logo'!$B$582</f>
        <v>with spring and damping</v>
      </c>
      <c r="F54" s="168" t="str">
        <f>'Translate&amp;Prices&amp;Logo'!$B$585</f>
        <v>silver</v>
      </c>
      <c r="G54" s="168" t="str">
        <f t="shared" si="10"/>
        <v>92581T - Half-overlay with spring and damping - silver</v>
      </c>
      <c r="H54" s="169" t="s">
        <v>2046</v>
      </c>
      <c r="I54" s="169" t="s">
        <v>88</v>
      </c>
      <c r="J54" s="169" t="s">
        <v>2046</v>
      </c>
      <c r="K54" s="169" t="s">
        <v>86</v>
      </c>
      <c r="L54" s="169" t="str">
        <f>CONCATENATE($K$1," - ",K54)</f>
        <v>cross screw - 92590T</v>
      </c>
      <c r="M54" s="169" t="s">
        <v>90</v>
      </c>
      <c r="N54" s="169" t="str">
        <f t="shared" si="3"/>
        <v>on screw (w/ cam adjust) - 92594T</v>
      </c>
      <c r="O54" s="169" t="s">
        <v>92</v>
      </c>
      <c r="P54" s="169" t="str">
        <f t="shared" si="4"/>
        <v>euroscrew - 92591T</v>
      </c>
      <c r="Q54" s="169" t="s">
        <v>3090</v>
      </c>
      <c r="R54" s="169" t="str">
        <f t="shared" si="5"/>
        <v>expando - N/A</v>
      </c>
      <c r="S54" s="169" t="s">
        <v>3090</v>
      </c>
      <c r="T54" s="169" t="str">
        <f t="shared" si="6"/>
        <v>direct screw - N/A</v>
      </c>
      <c r="U54" s="169" t="s">
        <v>3090</v>
      </c>
      <c r="V54" s="169" t="str">
        <f t="shared" si="7"/>
        <v>direct euroscrew - N/A</v>
      </c>
      <c r="W54" s="169" t="s">
        <v>3090</v>
      </c>
      <c r="X54" s="169" t="str">
        <f t="shared" si="8"/>
        <v>direct expando - N/A</v>
      </c>
      <c r="Y54" s="168"/>
      <c r="Z54" s="168"/>
    </row>
    <row r="55" spans="1:26" ht="15">
      <c r="A55" s="168" t="s">
        <v>2048</v>
      </c>
      <c r="B55" s="168" t="s">
        <v>85</v>
      </c>
      <c r="C55" s="168" t="str">
        <f>'Translate&amp;Prices&amp;Logo'!B554</f>
        <v>Half-overlay</v>
      </c>
      <c r="D55" s="166" t="str">
        <f t="shared" si="0"/>
        <v>široký_STRONG_Polonaložený</v>
      </c>
      <c r="E55" s="168" t="str">
        <f>'Translate&amp;Prices&amp;Logo'!$B$583</f>
        <v>without damping</v>
      </c>
      <c r="F55" s="168" t="str">
        <f>'Translate&amp;Prices&amp;Logo'!$B$585</f>
        <v>silver</v>
      </c>
      <c r="G55" s="168" t="str">
        <f t="shared" si="10"/>
        <v>198819 - Half-overlay without damping - silver</v>
      </c>
      <c r="H55" s="169" t="s">
        <v>2046</v>
      </c>
      <c r="I55" s="169">
        <v>198819</v>
      </c>
      <c r="J55" s="169" t="s">
        <v>2046</v>
      </c>
      <c r="K55" s="169" t="s">
        <v>86</v>
      </c>
      <c r="L55" s="169" t="str">
        <f>CONCATENATE($K$1," - ",K55)</f>
        <v>cross screw - 92590T</v>
      </c>
      <c r="M55" s="169" t="s">
        <v>90</v>
      </c>
      <c r="N55" s="169" t="str">
        <f t="shared" si="3"/>
        <v>on screw (w/ cam adjust) - 92594T</v>
      </c>
      <c r="O55" s="169" t="s">
        <v>92</v>
      </c>
      <c r="P55" s="169" t="str">
        <f t="shared" si="4"/>
        <v>euroscrew - 92591T</v>
      </c>
      <c r="Q55" s="169" t="s">
        <v>3090</v>
      </c>
      <c r="R55" s="169" t="str">
        <f t="shared" si="5"/>
        <v>expando - N/A</v>
      </c>
      <c r="S55" s="169" t="s">
        <v>3090</v>
      </c>
      <c r="T55" s="169" t="str">
        <f t="shared" si="6"/>
        <v>direct screw - N/A</v>
      </c>
      <c r="U55" s="169" t="s">
        <v>3090</v>
      </c>
      <c r="V55" s="169" t="str">
        <f t="shared" si="7"/>
        <v>direct euroscrew - N/A</v>
      </c>
      <c r="W55" s="169" t="s">
        <v>3090</v>
      </c>
      <c r="X55" s="169" t="str">
        <f t="shared" si="8"/>
        <v>direct expando - N/A</v>
      </c>
      <c r="Y55" s="168"/>
      <c r="Z55" s="168"/>
    </row>
    <row r="56" spans="1:26" ht="15">
      <c r="A56" s="173" t="s">
        <v>2048</v>
      </c>
      <c r="B56" s="173" t="s">
        <v>85</v>
      </c>
      <c r="C56" s="173" t="str">
        <f>'Translate&amp;Prices&amp;Logo'!B555</f>
        <v>Inset</v>
      </c>
      <c r="D56" s="166" t="str">
        <f t="shared" si="0"/>
        <v>široký_STRONG_Vložený</v>
      </c>
      <c r="E56" s="173" t="str">
        <f>'Translate&amp;Prices&amp;Logo'!$B$582</f>
        <v>with spring and damping</v>
      </c>
      <c r="F56" s="168" t="str">
        <f>'Translate&amp;Prices&amp;Logo'!$B$585</f>
        <v>silver</v>
      </c>
      <c r="G56" s="168" t="str">
        <f t="shared" si="10"/>
        <v>92582T - Inset with spring and damping - silver</v>
      </c>
      <c r="H56" s="169" t="s">
        <v>2046</v>
      </c>
      <c r="I56" s="169" t="s">
        <v>89</v>
      </c>
      <c r="J56" s="169" t="s">
        <v>2046</v>
      </c>
      <c r="K56" s="169" t="s">
        <v>121</v>
      </c>
      <c r="L56" s="169" t="str">
        <f t="shared" si="2"/>
        <v>cross screw - 92592T</v>
      </c>
      <c r="M56" s="169">
        <v>397954</v>
      </c>
      <c r="N56" s="169" t="str">
        <f t="shared" si="3"/>
        <v>on screw (w/ cam adjust) - 397954</v>
      </c>
      <c r="O56" s="169" t="s">
        <v>119</v>
      </c>
      <c r="P56" s="169" t="str">
        <f t="shared" si="4"/>
        <v>euroscrew - 92593T</v>
      </c>
      <c r="Q56" s="169" t="s">
        <v>3090</v>
      </c>
      <c r="R56" s="169" t="str">
        <f t="shared" si="5"/>
        <v>expando - N/A</v>
      </c>
      <c r="S56" s="169" t="s">
        <v>3090</v>
      </c>
      <c r="T56" s="169" t="str">
        <f t="shared" si="6"/>
        <v>direct screw - N/A</v>
      </c>
      <c r="U56" s="169" t="s">
        <v>3090</v>
      </c>
      <c r="V56" s="169" t="str">
        <f t="shared" si="7"/>
        <v>direct euroscrew - N/A</v>
      </c>
      <c r="W56" s="169" t="s">
        <v>3090</v>
      </c>
      <c r="X56" s="169" t="str">
        <f t="shared" si="8"/>
        <v>direct expando - N/A</v>
      </c>
      <c r="Y56" s="168"/>
      <c r="Z56" s="168"/>
    </row>
    <row r="57" spans="1:26" ht="15">
      <c r="A57" s="173" t="s">
        <v>2048</v>
      </c>
      <c r="B57" s="173" t="s">
        <v>85</v>
      </c>
      <c r="C57" s="173" t="str">
        <f>'Translate&amp;Prices&amp;Logo'!B555</f>
        <v>Inset</v>
      </c>
      <c r="D57" s="166" t="str">
        <f t="shared" si="0"/>
        <v>široký_STRONG_Vložený</v>
      </c>
      <c r="E57" s="173" t="str">
        <f>'Translate&amp;Prices&amp;Logo'!$B$583</f>
        <v>without damping</v>
      </c>
      <c r="F57" s="168" t="str">
        <f>'Translate&amp;Prices&amp;Logo'!$B$585</f>
        <v>silver</v>
      </c>
      <c r="G57" s="168" t="str">
        <f t="shared" si="10"/>
        <v>198820 - Inset without damping - silver</v>
      </c>
      <c r="H57" s="169" t="s">
        <v>2046</v>
      </c>
      <c r="I57" s="169">
        <v>198820</v>
      </c>
      <c r="J57" s="169" t="s">
        <v>2046</v>
      </c>
      <c r="K57" s="169" t="s">
        <v>121</v>
      </c>
      <c r="L57" s="169" t="str">
        <f t="shared" si="2"/>
        <v>cross screw - 92592T</v>
      </c>
      <c r="M57" s="169">
        <v>397954</v>
      </c>
      <c r="N57" s="169" t="str">
        <f t="shared" si="3"/>
        <v>on screw (w/ cam adjust) - 397954</v>
      </c>
      <c r="O57" s="169" t="s">
        <v>119</v>
      </c>
      <c r="P57" s="169" t="str">
        <f t="shared" si="4"/>
        <v>euroscrew - 92593T</v>
      </c>
      <c r="Q57" s="169" t="s">
        <v>3090</v>
      </c>
      <c r="R57" s="169" t="str">
        <f t="shared" si="5"/>
        <v>expando - N/A</v>
      </c>
      <c r="S57" s="169" t="s">
        <v>3090</v>
      </c>
      <c r="T57" s="169" t="str">
        <f t="shared" si="6"/>
        <v>direct screw - N/A</v>
      </c>
      <c r="U57" s="169" t="s">
        <v>3090</v>
      </c>
      <c r="V57" s="169" t="str">
        <f t="shared" si="7"/>
        <v>direct euroscrew - N/A</v>
      </c>
      <c r="W57" s="169" t="s">
        <v>3090</v>
      </c>
      <c r="X57" s="169" t="str">
        <f t="shared" si="8"/>
        <v>direct expando - N/A</v>
      </c>
      <c r="Y57" s="168"/>
      <c r="Z57" s="168"/>
    </row>
    <row r="58" spans="1:26" ht="15">
      <c r="A58" s="168" t="s">
        <v>2048</v>
      </c>
      <c r="B58" s="168" t="s">
        <v>3353</v>
      </c>
      <c r="C58" s="168" t="str">
        <f>'Translate&amp;Prices&amp;Logo'!B553</f>
        <v>Overlay</v>
      </c>
      <c r="D58" s="166" t="str">
        <f t="shared" si="0"/>
        <v>široký_STRONGHINGES_Naložený</v>
      </c>
      <c r="E58" s="168" t="str">
        <f>'Translate&amp;Prices&amp;Logo'!$B$582</f>
        <v>with spring and damping</v>
      </c>
      <c r="F58" s="168" t="str">
        <f>'Translate&amp;Prices&amp;Logo'!$B$585</f>
        <v>silver</v>
      </c>
      <c r="G58" s="168" t="str">
        <f t="shared" si="10"/>
        <v>350827 - Overlay with spring and damping - silver</v>
      </c>
      <c r="H58" s="169" t="s">
        <v>2046</v>
      </c>
      <c r="I58" s="169">
        <v>350827</v>
      </c>
      <c r="J58" s="169" t="s">
        <v>2046</v>
      </c>
      <c r="K58" s="169">
        <v>92596</v>
      </c>
      <c r="L58" s="169" t="str">
        <f t="shared" si="2"/>
        <v>cross screw - 92596</v>
      </c>
      <c r="M58" s="169">
        <v>315856</v>
      </c>
      <c r="N58" s="169" t="str">
        <f t="shared" si="3"/>
        <v>on screw (w/ cam adjust) - 315856</v>
      </c>
      <c r="O58" s="169">
        <v>92597</v>
      </c>
      <c r="P58" s="169" t="str">
        <f t="shared" si="4"/>
        <v>euroscrew - 92597</v>
      </c>
      <c r="Q58" s="169" t="s">
        <v>3090</v>
      </c>
      <c r="R58" s="169" t="str">
        <f t="shared" si="5"/>
        <v>expando - N/A</v>
      </c>
      <c r="S58" s="169" t="s">
        <v>3090</v>
      </c>
      <c r="T58" s="169" t="str">
        <f t="shared" si="6"/>
        <v>direct screw - N/A</v>
      </c>
      <c r="U58" s="169" t="s">
        <v>3090</v>
      </c>
      <c r="V58" s="169" t="str">
        <f t="shared" si="7"/>
        <v>direct euroscrew - N/A</v>
      </c>
      <c r="W58" s="169" t="s">
        <v>3090</v>
      </c>
      <c r="X58" s="169" t="str">
        <f t="shared" si="8"/>
        <v>direct expando - N/A</v>
      </c>
      <c r="Y58" s="168"/>
      <c r="Z58" s="168"/>
    </row>
    <row r="59" spans="1:26" ht="15">
      <c r="A59" s="168" t="s">
        <v>2048</v>
      </c>
      <c r="B59" s="168" t="s">
        <v>3353</v>
      </c>
      <c r="C59" s="168" t="str">
        <f>'Translate&amp;Prices&amp;Logo'!B553</f>
        <v>Overlay</v>
      </c>
      <c r="D59" s="166" t="str">
        <f t="shared" si="0"/>
        <v>široký_STRONGHINGES_Naložený</v>
      </c>
      <c r="E59" s="168" t="str">
        <f>'Translate&amp;Prices&amp;Logo'!$B$583</f>
        <v>without damping</v>
      </c>
      <c r="F59" s="168" t="str">
        <f>'Translate&amp;Prices&amp;Logo'!$B$585</f>
        <v>silver</v>
      </c>
      <c r="G59" s="168" t="str">
        <f t="shared" si="10"/>
        <v>350834 - Overlay without damping - silver</v>
      </c>
      <c r="H59" s="169" t="s">
        <v>2046</v>
      </c>
      <c r="I59" s="169">
        <v>350834</v>
      </c>
      <c r="J59" s="169" t="s">
        <v>2046</v>
      </c>
      <c r="K59" s="169">
        <v>92596</v>
      </c>
      <c r="L59" s="169" t="str">
        <f t="shared" si="2"/>
        <v>cross screw - 92596</v>
      </c>
      <c r="M59" s="169">
        <v>315856</v>
      </c>
      <c r="N59" s="169" t="str">
        <f t="shared" si="3"/>
        <v>on screw (w/ cam adjust) - 315856</v>
      </c>
      <c r="O59" s="169">
        <v>92597</v>
      </c>
      <c r="P59" s="169" t="str">
        <f t="shared" si="4"/>
        <v>euroscrew - 92597</v>
      </c>
      <c r="Q59" s="169" t="s">
        <v>3090</v>
      </c>
      <c r="R59" s="169" t="str">
        <f t="shared" si="5"/>
        <v>expando - N/A</v>
      </c>
      <c r="S59" s="169" t="s">
        <v>3090</v>
      </c>
      <c r="T59" s="169" t="str">
        <f t="shared" si="6"/>
        <v>direct screw - N/A</v>
      </c>
      <c r="U59" s="169" t="s">
        <v>3090</v>
      </c>
      <c r="V59" s="169" t="str">
        <f t="shared" si="7"/>
        <v>direct euroscrew - N/A</v>
      </c>
      <c r="W59" s="169" t="s">
        <v>3090</v>
      </c>
      <c r="X59" s="169" t="str">
        <f t="shared" si="8"/>
        <v>direct expando - N/A</v>
      </c>
      <c r="Y59" s="168"/>
      <c r="Z59" s="168"/>
    </row>
    <row r="60" spans="1:26" ht="15">
      <c r="A60" s="168" t="s">
        <v>2048</v>
      </c>
      <c r="B60" s="168" t="s">
        <v>3353</v>
      </c>
      <c r="C60" s="168" t="str">
        <f>'Translate&amp;Prices&amp;Logo'!B553</f>
        <v>Overlay</v>
      </c>
      <c r="D60" s="166" t="str">
        <f t="shared" si="0"/>
        <v>široký_STRONGHINGES_Naložený</v>
      </c>
      <c r="E60" s="168" t="str">
        <f>'Translate&amp;Prices&amp;Logo'!$B$584</f>
        <v>tip-on without spring / damping</v>
      </c>
      <c r="F60" s="168" t="str">
        <f>'Translate&amp;Prices&amp;Logo'!$B$585</f>
        <v>silver</v>
      </c>
      <c r="G60" s="168" t="str">
        <f t="shared" si="10"/>
        <v>350837 - Overlay tip-on without spring / damping - silver</v>
      </c>
      <c r="H60" s="169" t="s">
        <v>2046</v>
      </c>
      <c r="I60" s="169">
        <v>350837</v>
      </c>
      <c r="J60" s="169" t="s">
        <v>2046</v>
      </c>
      <c r="K60" s="169">
        <v>92596</v>
      </c>
      <c r="L60" s="169" t="str">
        <f t="shared" si="2"/>
        <v>cross screw - 92596</v>
      </c>
      <c r="M60" s="169">
        <v>315856</v>
      </c>
      <c r="N60" s="169" t="str">
        <f t="shared" si="3"/>
        <v>on screw (w/ cam adjust) - 315856</v>
      </c>
      <c r="O60" s="169">
        <v>92597</v>
      </c>
      <c r="P60" s="169" t="str">
        <f t="shared" si="4"/>
        <v>euroscrew - 92597</v>
      </c>
      <c r="Q60" s="169" t="s">
        <v>3090</v>
      </c>
      <c r="R60" s="169" t="str">
        <f t="shared" si="5"/>
        <v>expando - N/A</v>
      </c>
      <c r="S60" s="169" t="s">
        <v>3090</v>
      </c>
      <c r="T60" s="169" t="str">
        <f t="shared" si="6"/>
        <v>direct screw - N/A</v>
      </c>
      <c r="U60" s="169" t="s">
        <v>3090</v>
      </c>
      <c r="V60" s="169" t="str">
        <f t="shared" si="7"/>
        <v>direct euroscrew - N/A</v>
      </c>
      <c r="W60" s="169" t="s">
        <v>3090</v>
      </c>
      <c r="X60" s="169" t="str">
        <f t="shared" si="8"/>
        <v>direct expando - N/A</v>
      </c>
      <c r="Y60" s="168"/>
      <c r="Z60" s="168"/>
    </row>
    <row r="61" spans="1:26" ht="15">
      <c r="A61" s="173" t="s">
        <v>2048</v>
      </c>
      <c r="B61" s="168" t="s">
        <v>3353</v>
      </c>
      <c r="C61" s="173" t="str">
        <f>'Translate&amp;Prices&amp;Logo'!B554</f>
        <v>Half-overlay</v>
      </c>
      <c r="D61" s="166" t="str">
        <f t="shared" si="0"/>
        <v>široký_STRONGHINGES_Polonaložený</v>
      </c>
      <c r="E61" s="173" t="str">
        <f>'Translate&amp;Prices&amp;Logo'!$B$582</f>
        <v>with spring and damping</v>
      </c>
      <c r="F61" s="168" t="str">
        <f>'Translate&amp;Prices&amp;Logo'!$B$585</f>
        <v>silver</v>
      </c>
      <c r="G61" s="168" t="str">
        <f t="shared" si="10"/>
        <v>350828 - Half-overlay with spring and damping - silver</v>
      </c>
      <c r="H61" s="169" t="s">
        <v>2046</v>
      </c>
      <c r="I61" s="169">
        <v>350828</v>
      </c>
      <c r="J61" s="169" t="s">
        <v>2046</v>
      </c>
      <c r="K61" s="169">
        <v>92596</v>
      </c>
      <c r="L61" s="169" t="str">
        <f t="shared" si="2"/>
        <v>cross screw - 92596</v>
      </c>
      <c r="M61" s="169">
        <v>315856</v>
      </c>
      <c r="N61" s="169" t="str">
        <f t="shared" si="3"/>
        <v>on screw (w/ cam adjust) - 315856</v>
      </c>
      <c r="O61" s="169">
        <v>92597</v>
      </c>
      <c r="P61" s="169" t="str">
        <f t="shared" si="4"/>
        <v>euroscrew - 92597</v>
      </c>
      <c r="Q61" s="169" t="s">
        <v>3090</v>
      </c>
      <c r="R61" s="169" t="str">
        <f t="shared" si="5"/>
        <v>expando - N/A</v>
      </c>
      <c r="S61" s="169" t="s">
        <v>3090</v>
      </c>
      <c r="T61" s="169" t="str">
        <f t="shared" si="6"/>
        <v>direct screw - N/A</v>
      </c>
      <c r="U61" s="169" t="s">
        <v>3090</v>
      </c>
      <c r="V61" s="169" t="str">
        <f t="shared" si="7"/>
        <v>direct euroscrew - N/A</v>
      </c>
      <c r="W61" s="169" t="s">
        <v>3090</v>
      </c>
      <c r="X61" s="169" t="str">
        <f t="shared" si="8"/>
        <v>direct expando - N/A</v>
      </c>
      <c r="Y61" s="168"/>
      <c r="Z61" s="168"/>
    </row>
    <row r="62" spans="1:26" ht="15">
      <c r="A62" s="173" t="s">
        <v>2048</v>
      </c>
      <c r="B62" s="168" t="s">
        <v>3353</v>
      </c>
      <c r="C62" s="173" t="str">
        <f>'Translate&amp;Prices&amp;Logo'!B554</f>
        <v>Half-overlay</v>
      </c>
      <c r="D62" s="166" t="str">
        <f t="shared" si="0"/>
        <v>široký_STRONGHINGES_Polonaložený</v>
      </c>
      <c r="E62" s="173" t="str">
        <f>'Translate&amp;Prices&amp;Logo'!$B$583</f>
        <v>without damping</v>
      </c>
      <c r="F62" s="168" t="str">
        <f>'Translate&amp;Prices&amp;Logo'!$B$585</f>
        <v>silver</v>
      </c>
      <c r="G62" s="168" t="str">
        <f t="shared" si="10"/>
        <v>350835 - Half-overlay without damping - silver</v>
      </c>
      <c r="H62" s="169" t="s">
        <v>2046</v>
      </c>
      <c r="I62" s="169">
        <v>350835</v>
      </c>
      <c r="J62" s="169" t="s">
        <v>2046</v>
      </c>
      <c r="K62" s="169">
        <v>92596</v>
      </c>
      <c r="L62" s="169" t="str">
        <f t="shared" si="2"/>
        <v>cross screw - 92596</v>
      </c>
      <c r="M62" s="169">
        <v>315856</v>
      </c>
      <c r="N62" s="169" t="str">
        <f t="shared" si="3"/>
        <v>on screw (w/ cam adjust) - 315856</v>
      </c>
      <c r="O62" s="169">
        <v>92597</v>
      </c>
      <c r="P62" s="169" t="str">
        <f t="shared" si="4"/>
        <v>euroscrew - 92597</v>
      </c>
      <c r="Q62" s="169" t="s">
        <v>3090</v>
      </c>
      <c r="R62" s="169" t="str">
        <f t="shared" si="5"/>
        <v>expando - N/A</v>
      </c>
      <c r="S62" s="169" t="s">
        <v>3090</v>
      </c>
      <c r="T62" s="169" t="str">
        <f t="shared" si="6"/>
        <v>direct screw - N/A</v>
      </c>
      <c r="U62" s="169" t="s">
        <v>3090</v>
      </c>
      <c r="V62" s="169" t="str">
        <f t="shared" si="7"/>
        <v>direct euroscrew - N/A</v>
      </c>
      <c r="W62" s="169" t="s">
        <v>3090</v>
      </c>
      <c r="X62" s="169" t="str">
        <f t="shared" si="8"/>
        <v>direct expando - N/A</v>
      </c>
      <c r="Y62" s="168"/>
      <c r="Z62" s="168"/>
    </row>
    <row r="63" spans="1:26" ht="15">
      <c r="A63" s="173" t="s">
        <v>2048</v>
      </c>
      <c r="B63" s="168" t="s">
        <v>3353</v>
      </c>
      <c r="C63" s="173" t="str">
        <f>'Translate&amp;Prices&amp;Logo'!B554</f>
        <v>Half-overlay</v>
      </c>
      <c r="D63" s="166" t="str">
        <f t="shared" si="0"/>
        <v>široký_STRONGHINGES_Polonaložený</v>
      </c>
      <c r="E63" s="173" t="str">
        <f>'Translate&amp;Prices&amp;Logo'!$B$584</f>
        <v>tip-on without spring / damping</v>
      </c>
      <c r="F63" s="168" t="str">
        <f>'Translate&amp;Prices&amp;Logo'!$B$585</f>
        <v>silver</v>
      </c>
      <c r="G63" s="168" t="str">
        <f t="shared" si="10"/>
        <v>350838 - Half-overlay tip-on without spring / damping - silver</v>
      </c>
      <c r="H63" s="169" t="s">
        <v>2046</v>
      </c>
      <c r="I63" s="169">
        <v>350838</v>
      </c>
      <c r="J63" s="169" t="s">
        <v>2046</v>
      </c>
      <c r="K63" s="169">
        <v>92596</v>
      </c>
      <c r="L63" s="169" t="str">
        <f t="shared" si="2"/>
        <v>cross screw - 92596</v>
      </c>
      <c r="M63" s="169">
        <v>315856</v>
      </c>
      <c r="N63" s="169" t="str">
        <f t="shared" si="3"/>
        <v>on screw (w/ cam adjust) - 315856</v>
      </c>
      <c r="O63" s="169">
        <v>92597</v>
      </c>
      <c r="P63" s="169" t="str">
        <f t="shared" si="4"/>
        <v>euroscrew - 92597</v>
      </c>
      <c r="Q63" s="169" t="s">
        <v>3090</v>
      </c>
      <c r="R63" s="169" t="str">
        <f t="shared" si="5"/>
        <v>expando - N/A</v>
      </c>
      <c r="S63" s="169" t="s">
        <v>3090</v>
      </c>
      <c r="T63" s="169" t="str">
        <f t="shared" si="6"/>
        <v>direct screw - N/A</v>
      </c>
      <c r="U63" s="169" t="s">
        <v>3090</v>
      </c>
      <c r="V63" s="169" t="str">
        <f t="shared" si="7"/>
        <v>direct euroscrew - N/A</v>
      </c>
      <c r="W63" s="169" t="s">
        <v>3090</v>
      </c>
      <c r="X63" s="169" t="str">
        <f t="shared" si="8"/>
        <v>direct expando - N/A</v>
      </c>
      <c r="Y63" s="168"/>
      <c r="Z63" s="168"/>
    </row>
    <row r="64" spans="1:26" ht="15">
      <c r="A64" s="168" t="s">
        <v>2048</v>
      </c>
      <c r="B64" s="168" t="s">
        <v>3353</v>
      </c>
      <c r="C64" s="168" t="str">
        <f>'Translate&amp;Prices&amp;Logo'!B555</f>
        <v>Inset</v>
      </c>
      <c r="D64" s="166" t="str">
        <f t="shared" si="0"/>
        <v>široký_STRONGHINGES_Vložený</v>
      </c>
      <c r="E64" s="168" t="str">
        <f>'Translate&amp;Prices&amp;Logo'!$B$582</f>
        <v>with spring and damping</v>
      </c>
      <c r="F64" s="168" t="str">
        <f>'Translate&amp;Prices&amp;Logo'!$B$585</f>
        <v>silver</v>
      </c>
      <c r="G64" s="168" t="str">
        <f t="shared" si="10"/>
        <v>350829 - Inset with spring and damping - silver</v>
      </c>
      <c r="H64" s="169" t="s">
        <v>2046</v>
      </c>
      <c r="I64" s="169">
        <v>350829</v>
      </c>
      <c r="J64" s="169" t="s">
        <v>2046</v>
      </c>
      <c r="K64" s="169">
        <v>92598</v>
      </c>
      <c r="L64" s="169" t="str">
        <f t="shared" si="2"/>
        <v>cross screw - 92598</v>
      </c>
      <c r="M64" s="169">
        <v>350868</v>
      </c>
      <c r="N64" s="169" t="str">
        <f t="shared" si="3"/>
        <v>on screw (w/ cam adjust) - 350868</v>
      </c>
      <c r="O64" s="169">
        <v>92599</v>
      </c>
      <c r="P64" s="169" t="str">
        <f t="shared" si="4"/>
        <v>euroscrew - 92599</v>
      </c>
      <c r="Q64" s="169" t="s">
        <v>3090</v>
      </c>
      <c r="R64" s="169" t="str">
        <f t="shared" si="5"/>
        <v>expando - N/A</v>
      </c>
      <c r="S64" s="169" t="s">
        <v>3090</v>
      </c>
      <c r="T64" s="169" t="str">
        <f t="shared" si="6"/>
        <v>direct screw - N/A</v>
      </c>
      <c r="U64" s="169" t="s">
        <v>3090</v>
      </c>
      <c r="V64" s="169" t="str">
        <f t="shared" si="7"/>
        <v>direct euroscrew - N/A</v>
      </c>
      <c r="W64" s="169" t="s">
        <v>3090</v>
      </c>
      <c r="X64" s="169" t="str">
        <f t="shared" si="8"/>
        <v>direct expando - N/A</v>
      </c>
      <c r="Y64" s="168"/>
      <c r="Z64" s="168"/>
    </row>
    <row r="65" spans="1:26" ht="15">
      <c r="A65" s="168" t="s">
        <v>2048</v>
      </c>
      <c r="B65" s="168" t="s">
        <v>3353</v>
      </c>
      <c r="C65" s="168" t="str">
        <f>'Translate&amp;Prices&amp;Logo'!B555</f>
        <v>Inset</v>
      </c>
      <c r="D65" s="166" t="str">
        <f t="shared" si="0"/>
        <v>široký_STRONGHINGES_Vložený</v>
      </c>
      <c r="E65" s="168" t="str">
        <f>'Translate&amp;Prices&amp;Logo'!$B$583</f>
        <v>without damping</v>
      </c>
      <c r="F65" s="168" t="str">
        <f>'Translate&amp;Prices&amp;Logo'!$B$585</f>
        <v>silver</v>
      </c>
      <c r="G65" s="168" t="str">
        <f t="shared" si="10"/>
        <v>350836 - Inset without damping - silver</v>
      </c>
      <c r="H65" s="169" t="s">
        <v>2046</v>
      </c>
      <c r="I65" s="169">
        <v>350836</v>
      </c>
      <c r="J65" s="169" t="s">
        <v>2046</v>
      </c>
      <c r="K65" s="169">
        <v>92598</v>
      </c>
      <c r="L65" s="169" t="str">
        <f t="shared" si="2"/>
        <v>cross screw - 92598</v>
      </c>
      <c r="M65" s="169">
        <v>350868</v>
      </c>
      <c r="N65" s="169" t="str">
        <f t="shared" si="3"/>
        <v>on screw (w/ cam adjust) - 350868</v>
      </c>
      <c r="O65" s="169">
        <v>92599</v>
      </c>
      <c r="P65" s="169" t="str">
        <f t="shared" si="4"/>
        <v>euroscrew - 92599</v>
      </c>
      <c r="Q65" s="169" t="s">
        <v>3090</v>
      </c>
      <c r="R65" s="169" t="str">
        <f t="shared" si="5"/>
        <v>expando - N/A</v>
      </c>
      <c r="S65" s="169" t="s">
        <v>3090</v>
      </c>
      <c r="T65" s="169" t="str">
        <f t="shared" si="6"/>
        <v>direct screw - N/A</v>
      </c>
      <c r="U65" s="169" t="s">
        <v>3090</v>
      </c>
      <c r="V65" s="169" t="str">
        <f t="shared" si="7"/>
        <v>direct euroscrew - N/A</v>
      </c>
      <c r="W65" s="169" t="s">
        <v>3090</v>
      </c>
      <c r="X65" s="169" t="str">
        <f t="shared" si="8"/>
        <v>direct expando - N/A</v>
      </c>
      <c r="Y65" s="168"/>
      <c r="Z65" s="168"/>
    </row>
    <row r="66" spans="1:26" ht="15">
      <c r="A66" s="168" t="s">
        <v>2048</v>
      </c>
      <c r="B66" s="168" t="s">
        <v>3353</v>
      </c>
      <c r="C66" s="168" t="str">
        <f>'Translate&amp;Prices&amp;Logo'!B555</f>
        <v>Inset</v>
      </c>
      <c r="D66" s="166" t="str">
        <f t="shared" si="0"/>
        <v>široký_STRONGHINGES_Vložený</v>
      </c>
      <c r="E66" s="168" t="str">
        <f>'Translate&amp;Prices&amp;Logo'!$B$584</f>
        <v>tip-on without spring / damping</v>
      </c>
      <c r="F66" s="168" t="str">
        <f>'Translate&amp;Prices&amp;Logo'!$B$585</f>
        <v>silver</v>
      </c>
      <c r="G66" s="168" t="str">
        <f t="shared" si="10"/>
        <v>350839 - Inset tip-on without spring / damping - silver</v>
      </c>
      <c r="H66" s="169" t="s">
        <v>2046</v>
      </c>
      <c r="I66" s="169">
        <v>350839</v>
      </c>
      <c r="J66" s="169" t="s">
        <v>2046</v>
      </c>
      <c r="K66" s="169">
        <v>92598</v>
      </c>
      <c r="L66" s="169" t="str">
        <f t="shared" si="2"/>
        <v>cross screw - 92598</v>
      </c>
      <c r="M66" s="169">
        <v>350868</v>
      </c>
      <c r="N66" s="169" t="str">
        <f t="shared" si="3"/>
        <v>on screw (w/ cam adjust) - 350868</v>
      </c>
      <c r="O66" s="169">
        <v>92599</v>
      </c>
      <c r="P66" s="169" t="str">
        <f t="shared" si="4"/>
        <v>euroscrew - 92599</v>
      </c>
      <c r="Q66" s="169" t="s">
        <v>3090</v>
      </c>
      <c r="R66" s="169" t="str">
        <f t="shared" si="5"/>
        <v>expando - N/A</v>
      </c>
      <c r="S66" s="169" t="s">
        <v>3090</v>
      </c>
      <c r="T66" s="169" t="str">
        <f t="shared" si="6"/>
        <v>direct screw - N/A</v>
      </c>
      <c r="U66" s="169" t="s">
        <v>3090</v>
      </c>
      <c r="V66" s="169" t="str">
        <f t="shared" si="7"/>
        <v>direct euroscrew - N/A</v>
      </c>
      <c r="W66" s="169" t="s">
        <v>3090</v>
      </c>
      <c r="X66" s="169" t="str">
        <f t="shared" si="8"/>
        <v>direct expando - N/A</v>
      </c>
      <c r="Y66" s="168"/>
      <c r="Z66" s="168"/>
    </row>
    <row r="67" spans="1:26" ht="15">
      <c r="X67" s="168"/>
      <c r="Y67" s="168"/>
      <c r="Z67" s="168"/>
    </row>
    <row r="69" spans="1:26" ht="16.350000000000001" customHeight="1">
      <c r="A69" s="173" t="s">
        <v>2119</v>
      </c>
      <c r="B69" s="173" t="s">
        <v>2119</v>
      </c>
      <c r="C69" s="168" t="s">
        <v>333</v>
      </c>
    </row>
    <row r="70" spans="1:26" ht="16.350000000000001" customHeight="1">
      <c r="A70" s="173" t="s">
        <v>2119</v>
      </c>
      <c r="B70" s="173" t="s">
        <v>2119</v>
      </c>
      <c r="C70" s="168" t="s">
        <v>333</v>
      </c>
    </row>
    <row r="71" spans="1:26" ht="16.350000000000001" customHeight="1">
      <c r="A71" s="173" t="s">
        <v>2119</v>
      </c>
      <c r="B71" s="173" t="s">
        <v>2119</v>
      </c>
      <c r="C71" s="168" t="s">
        <v>333</v>
      </c>
    </row>
    <row r="72" spans="1:26" ht="16.350000000000001" customHeight="1">
      <c r="A72" s="173" t="s">
        <v>2119</v>
      </c>
      <c r="B72" s="173" t="s">
        <v>2119</v>
      </c>
      <c r="C72" s="168" t="s">
        <v>333</v>
      </c>
    </row>
    <row r="73" spans="1:26" ht="16.350000000000001" customHeight="1">
      <c r="A73" s="173" t="s">
        <v>2120</v>
      </c>
      <c r="B73" s="173" t="s">
        <v>2120</v>
      </c>
      <c r="C73" s="168" t="s">
        <v>333</v>
      </c>
    </row>
    <row r="74" spans="1:26" ht="16.350000000000001" customHeight="1">
      <c r="A74" s="173" t="s">
        <v>2120</v>
      </c>
      <c r="B74" s="173" t="s">
        <v>2120</v>
      </c>
      <c r="C74" s="168" t="s">
        <v>333</v>
      </c>
    </row>
    <row r="75" spans="1:26" ht="16.350000000000001" customHeight="1">
      <c r="A75" s="173" t="s">
        <v>2121</v>
      </c>
      <c r="B75" s="173" t="s">
        <v>2121</v>
      </c>
      <c r="C75" s="168" t="s">
        <v>333</v>
      </c>
    </row>
    <row r="76" spans="1:26" ht="16.350000000000001" customHeight="1">
      <c r="A76" s="173" t="s">
        <v>2121</v>
      </c>
      <c r="B76" s="173" t="s">
        <v>2121</v>
      </c>
      <c r="C76" s="168" t="s">
        <v>333</v>
      </c>
    </row>
    <row r="77" spans="1:26" ht="16.350000000000001" customHeight="1">
      <c r="A77" s="173" t="s">
        <v>2122</v>
      </c>
      <c r="B77" s="173" t="s">
        <v>2122</v>
      </c>
      <c r="C77" s="168" t="s">
        <v>333</v>
      </c>
    </row>
    <row r="78" spans="1:26" ht="16.350000000000001" customHeight="1">
      <c r="A78" s="173" t="s">
        <v>2122</v>
      </c>
      <c r="B78" s="173" t="s">
        <v>2122</v>
      </c>
      <c r="C78" s="168" t="s">
        <v>333</v>
      </c>
    </row>
    <row r="79" spans="1:26" ht="16.350000000000001" customHeight="1">
      <c r="A79" s="173" t="s">
        <v>2122</v>
      </c>
      <c r="B79" s="173" t="s">
        <v>2122</v>
      </c>
      <c r="C79" s="168" t="s">
        <v>333</v>
      </c>
    </row>
    <row r="80" spans="1:26" ht="16.350000000000001" customHeight="1">
      <c r="A80" s="173" t="s">
        <v>2122</v>
      </c>
      <c r="B80" s="173" t="s">
        <v>2122</v>
      </c>
      <c r="C80" s="168" t="s">
        <v>333</v>
      </c>
    </row>
    <row r="81" spans="1:7" ht="16.350000000000001" customHeight="1">
      <c r="A81" s="173" t="s">
        <v>2123</v>
      </c>
      <c r="B81" s="173" t="s">
        <v>2123</v>
      </c>
      <c r="C81" s="168" t="s">
        <v>333</v>
      </c>
      <c r="G81" s="168" t="s">
        <v>3145</v>
      </c>
    </row>
    <row r="82" spans="1:7" ht="16.350000000000001" customHeight="1">
      <c r="A82" s="173" t="s">
        <v>2123</v>
      </c>
      <c r="B82" s="173" t="s">
        <v>2123</v>
      </c>
      <c r="C82" s="168" t="s">
        <v>333</v>
      </c>
    </row>
    <row r="83" spans="1:7" ht="16.350000000000001" customHeight="1">
      <c r="A83" s="173" t="s">
        <v>2123</v>
      </c>
      <c r="B83" s="173" t="s">
        <v>2123</v>
      </c>
      <c r="C83" s="168" t="s">
        <v>333</v>
      </c>
    </row>
    <row r="84" spans="1:7" ht="16.350000000000001" customHeight="1">
      <c r="A84" s="173" t="s">
        <v>2124</v>
      </c>
      <c r="B84" s="173" t="s">
        <v>2124</v>
      </c>
      <c r="C84" s="168" t="s">
        <v>333</v>
      </c>
    </row>
    <row r="85" spans="1:7" ht="16.350000000000001" customHeight="1">
      <c r="A85" s="173" t="s">
        <v>2124</v>
      </c>
      <c r="B85" s="173" t="s">
        <v>2124</v>
      </c>
      <c r="C85" s="168" t="s">
        <v>333</v>
      </c>
    </row>
    <row r="86" spans="1:7" ht="16.350000000000001" customHeight="1">
      <c r="A86" s="173" t="s">
        <v>2124</v>
      </c>
      <c r="B86" s="173" t="s">
        <v>2124</v>
      </c>
      <c r="C86" s="168" t="s">
        <v>333</v>
      </c>
    </row>
    <row r="87" spans="1:7" ht="16.350000000000001" customHeight="1">
      <c r="A87" s="173" t="s">
        <v>2125</v>
      </c>
      <c r="B87" s="173" t="s">
        <v>2125</v>
      </c>
      <c r="C87" s="168" t="s">
        <v>333</v>
      </c>
    </row>
    <row r="88" spans="1:7" ht="16.350000000000001" customHeight="1">
      <c r="A88" s="173" t="s">
        <v>3354</v>
      </c>
      <c r="B88" s="173" t="s">
        <v>3354</v>
      </c>
      <c r="C88" s="168" t="s">
        <v>333</v>
      </c>
    </row>
    <row r="89" spans="1:7" ht="16.350000000000001" customHeight="1">
      <c r="A89" s="173" t="s">
        <v>3354</v>
      </c>
      <c r="B89" s="173" t="s">
        <v>3354</v>
      </c>
      <c r="C89" s="168" t="s">
        <v>333</v>
      </c>
    </row>
    <row r="90" spans="1:7" ht="16.350000000000001" customHeight="1">
      <c r="A90" s="173" t="s">
        <v>2127</v>
      </c>
      <c r="B90" s="173" t="s">
        <v>2127</v>
      </c>
      <c r="C90" s="168" t="s">
        <v>333</v>
      </c>
    </row>
    <row r="91" spans="1:7" ht="16.350000000000001" customHeight="1">
      <c r="A91" s="173" t="s">
        <v>2127</v>
      </c>
      <c r="B91" s="173" t="s">
        <v>2127</v>
      </c>
      <c r="C91" s="168" t="s">
        <v>333</v>
      </c>
    </row>
    <row r="92" spans="1:7" ht="16.350000000000001" customHeight="1">
      <c r="A92" s="173" t="s">
        <v>2127</v>
      </c>
      <c r="B92" s="173" t="s">
        <v>2127</v>
      </c>
      <c r="C92" s="168" t="s">
        <v>333</v>
      </c>
    </row>
    <row r="93" spans="1:7" ht="16.350000000000001" customHeight="1">
      <c r="A93" s="173" t="s">
        <v>2127</v>
      </c>
      <c r="B93" s="173" t="s">
        <v>2127</v>
      </c>
      <c r="C93" s="168" t="s">
        <v>333</v>
      </c>
    </row>
    <row r="94" spans="1:7" ht="16.350000000000001" customHeight="1">
      <c r="A94" s="173" t="s">
        <v>2128</v>
      </c>
      <c r="B94" s="173" t="s">
        <v>2128</v>
      </c>
      <c r="C94" s="168" t="s">
        <v>333</v>
      </c>
    </row>
    <row r="95" spans="1:7" ht="16.350000000000001" customHeight="1">
      <c r="A95" s="173" t="s">
        <v>2128</v>
      </c>
      <c r="B95" s="173" t="s">
        <v>2128</v>
      </c>
      <c r="C95" s="168" t="s">
        <v>333</v>
      </c>
    </row>
    <row r="96" spans="1:7" ht="16.350000000000001" customHeight="1">
      <c r="A96" s="173" t="s">
        <v>2128</v>
      </c>
      <c r="B96" s="173" t="s">
        <v>2128</v>
      </c>
      <c r="C96" s="168" t="s">
        <v>333</v>
      </c>
    </row>
    <row r="97" spans="1:3" ht="16.350000000000001" customHeight="1">
      <c r="A97" s="173" t="s">
        <v>2128</v>
      </c>
      <c r="B97" s="173" t="s">
        <v>2128</v>
      </c>
      <c r="C97" s="168" t="s">
        <v>333</v>
      </c>
    </row>
    <row r="98" spans="1:3" ht="16.350000000000001" customHeight="1">
      <c r="A98" s="173" t="s">
        <v>2129</v>
      </c>
      <c r="B98" s="173" t="s">
        <v>2129</v>
      </c>
      <c r="C98" s="168" t="s">
        <v>333</v>
      </c>
    </row>
    <row r="99" spans="1:3" ht="16.350000000000001" customHeight="1">
      <c r="A99" s="173" t="s">
        <v>2129</v>
      </c>
      <c r="B99" s="173" t="s">
        <v>2129</v>
      </c>
      <c r="C99" s="168" t="s">
        <v>333</v>
      </c>
    </row>
    <row r="100" spans="1:3" ht="16.350000000000001" customHeight="1">
      <c r="A100" s="173" t="s">
        <v>2129</v>
      </c>
      <c r="B100" s="173" t="s">
        <v>2129</v>
      </c>
      <c r="C100" s="168" t="s">
        <v>333</v>
      </c>
    </row>
    <row r="101" spans="1:3" ht="16.350000000000001" customHeight="1">
      <c r="A101" s="173" t="s">
        <v>2129</v>
      </c>
      <c r="B101" s="173" t="s">
        <v>2129</v>
      </c>
      <c r="C101" s="168" t="s">
        <v>333</v>
      </c>
    </row>
    <row r="102" spans="1:3" ht="16.350000000000001" customHeight="1">
      <c r="A102" s="173" t="s">
        <v>2130</v>
      </c>
      <c r="B102" s="173" t="s">
        <v>2130</v>
      </c>
      <c r="C102" s="168" t="s">
        <v>333</v>
      </c>
    </row>
    <row r="103" spans="1:3" ht="16.350000000000001" customHeight="1">
      <c r="A103" s="173" t="s">
        <v>2130</v>
      </c>
      <c r="B103" s="173" t="s">
        <v>2130</v>
      </c>
      <c r="C103" s="168" t="s">
        <v>333</v>
      </c>
    </row>
    <row r="104" spans="1:3" ht="16.350000000000001" customHeight="1">
      <c r="A104" s="173" t="s">
        <v>2130</v>
      </c>
      <c r="B104" s="173" t="s">
        <v>2130</v>
      </c>
      <c r="C104" s="168" t="s">
        <v>333</v>
      </c>
    </row>
    <row r="105" spans="1:3" ht="16.350000000000001" customHeight="1">
      <c r="A105" s="173" t="s">
        <v>2130</v>
      </c>
      <c r="B105" s="173" t="s">
        <v>2130</v>
      </c>
      <c r="C105" s="168" t="s">
        <v>333</v>
      </c>
    </row>
    <row r="106" spans="1:3" ht="16.350000000000001" customHeight="1">
      <c r="A106" s="173" t="s">
        <v>2130</v>
      </c>
      <c r="B106" s="173" t="s">
        <v>2130</v>
      </c>
      <c r="C106" s="168" t="s">
        <v>333</v>
      </c>
    </row>
    <row r="107" spans="1:3" ht="16.350000000000001" customHeight="1">
      <c r="A107" s="173" t="s">
        <v>2131</v>
      </c>
      <c r="B107" s="173" t="s">
        <v>2131</v>
      </c>
      <c r="C107" s="168" t="s">
        <v>333</v>
      </c>
    </row>
    <row r="108" spans="1:3" ht="16.350000000000001" customHeight="1">
      <c r="A108" s="173" t="s">
        <v>2131</v>
      </c>
      <c r="B108" s="173" t="s">
        <v>2131</v>
      </c>
      <c r="C108" s="168" t="s">
        <v>333</v>
      </c>
    </row>
    <row r="109" spans="1:3" ht="16.350000000000001" customHeight="1">
      <c r="A109" s="173" t="s">
        <v>2131</v>
      </c>
      <c r="B109" s="173" t="s">
        <v>2131</v>
      </c>
      <c r="C109" s="168" t="s">
        <v>333</v>
      </c>
    </row>
    <row r="110" spans="1:3" ht="16.350000000000001" customHeight="1">
      <c r="A110" s="173" t="s">
        <v>2131</v>
      </c>
      <c r="B110" s="173" t="s">
        <v>2131</v>
      </c>
      <c r="C110" s="168" t="s">
        <v>333</v>
      </c>
    </row>
    <row r="111" spans="1:3" ht="16.350000000000001" customHeight="1">
      <c r="A111" s="173" t="s">
        <v>2131</v>
      </c>
      <c r="B111" s="173" t="s">
        <v>2131</v>
      </c>
      <c r="C111" s="168" t="s">
        <v>333</v>
      </c>
    </row>
    <row r="112" spans="1:3" ht="16.350000000000001" customHeight="1">
      <c r="A112" s="173" t="s">
        <v>2132</v>
      </c>
      <c r="B112" s="173" t="s">
        <v>2132</v>
      </c>
      <c r="C112" s="168" t="s">
        <v>333</v>
      </c>
    </row>
    <row r="113" spans="1:3" ht="16.350000000000001" customHeight="1">
      <c r="A113" s="173" t="s">
        <v>2132</v>
      </c>
      <c r="B113" s="173" t="s">
        <v>2132</v>
      </c>
      <c r="C113" s="168" t="s">
        <v>333</v>
      </c>
    </row>
    <row r="114" spans="1:3" ht="16.350000000000001" customHeight="1">
      <c r="A114" s="173" t="s">
        <v>2132</v>
      </c>
      <c r="B114" s="173" t="s">
        <v>2132</v>
      </c>
      <c r="C114" s="168" t="s">
        <v>333</v>
      </c>
    </row>
    <row r="115" spans="1:3" ht="16.350000000000001" customHeight="1">
      <c r="A115" s="173" t="s">
        <v>2132</v>
      </c>
      <c r="B115" s="173" t="s">
        <v>2132</v>
      </c>
      <c r="C115" s="168" t="s">
        <v>333</v>
      </c>
    </row>
    <row r="116" spans="1:3" ht="16.350000000000001" customHeight="1">
      <c r="A116" s="173" t="s">
        <v>2132</v>
      </c>
      <c r="B116" s="173" t="s">
        <v>2132</v>
      </c>
      <c r="C116" s="168" t="s">
        <v>333</v>
      </c>
    </row>
    <row r="117" spans="1:3" ht="16.350000000000001" customHeight="1">
      <c r="A117" s="173" t="s">
        <v>2133</v>
      </c>
      <c r="B117" s="173" t="s">
        <v>2133</v>
      </c>
      <c r="C117" s="168" t="s">
        <v>333</v>
      </c>
    </row>
    <row r="118" spans="1:3" ht="16.350000000000001" customHeight="1">
      <c r="A118" s="173" t="s">
        <v>2133</v>
      </c>
      <c r="B118" s="173" t="s">
        <v>2133</v>
      </c>
      <c r="C118" s="168" t="s">
        <v>333</v>
      </c>
    </row>
    <row r="119" spans="1:3" ht="16.350000000000001" customHeight="1">
      <c r="A119" s="173" t="s">
        <v>2134</v>
      </c>
      <c r="B119" s="173" t="s">
        <v>2134</v>
      </c>
      <c r="C119" s="168" t="s">
        <v>333</v>
      </c>
    </row>
    <row r="120" spans="1:3" ht="16.350000000000001" customHeight="1">
      <c r="A120" s="173" t="s">
        <v>2134</v>
      </c>
      <c r="B120" s="173" t="s">
        <v>2134</v>
      </c>
      <c r="C120" s="168" t="s">
        <v>333</v>
      </c>
    </row>
    <row r="121" spans="1:3" ht="16.350000000000001" customHeight="1">
      <c r="A121" s="173" t="s">
        <v>2135</v>
      </c>
      <c r="B121" s="173" t="s">
        <v>2135</v>
      </c>
      <c r="C121" s="168" t="s">
        <v>333</v>
      </c>
    </row>
    <row r="122" spans="1:3" ht="16.350000000000001" customHeight="1">
      <c r="A122" s="173" t="s">
        <v>2135</v>
      </c>
      <c r="B122" s="173" t="s">
        <v>2135</v>
      </c>
      <c r="C122" s="168" t="s">
        <v>333</v>
      </c>
    </row>
    <row r="123" spans="1:3" ht="16.350000000000001" customHeight="1">
      <c r="A123" s="173" t="s">
        <v>3355</v>
      </c>
      <c r="B123" s="173" t="s">
        <v>3355</v>
      </c>
      <c r="C123" s="168" t="s">
        <v>333</v>
      </c>
    </row>
    <row r="124" spans="1:3" ht="16.350000000000001" customHeight="1">
      <c r="A124" s="173" t="s">
        <v>3355</v>
      </c>
      <c r="B124" s="173" t="s">
        <v>3355</v>
      </c>
      <c r="C124" s="168" t="s">
        <v>333</v>
      </c>
    </row>
    <row r="125" spans="1:3" ht="16.350000000000001" customHeight="1">
      <c r="A125" s="173" t="s">
        <v>3355</v>
      </c>
      <c r="B125" s="173" t="s">
        <v>3355</v>
      </c>
      <c r="C125" s="168" t="s">
        <v>333</v>
      </c>
    </row>
    <row r="126" spans="1:3" ht="16.350000000000001" customHeight="1">
      <c r="A126" s="173" t="s">
        <v>3356</v>
      </c>
      <c r="B126" s="173" t="s">
        <v>3356</v>
      </c>
      <c r="C126" s="168" t="s">
        <v>333</v>
      </c>
    </row>
    <row r="127" spans="1:3" ht="16.350000000000001" customHeight="1">
      <c r="A127" s="173" t="s">
        <v>3356</v>
      </c>
      <c r="B127" s="173" t="s">
        <v>3356</v>
      </c>
      <c r="C127" s="168" t="s">
        <v>333</v>
      </c>
    </row>
    <row r="128" spans="1:3" ht="16.350000000000001" customHeight="1">
      <c r="A128" s="173" t="s">
        <v>3356</v>
      </c>
      <c r="B128" s="173" t="s">
        <v>3356</v>
      </c>
      <c r="C128" s="168" t="s">
        <v>333</v>
      </c>
    </row>
    <row r="129" spans="1:3" ht="16.350000000000001" customHeight="1">
      <c r="A129" s="173" t="s">
        <v>3357</v>
      </c>
      <c r="B129" s="173" t="s">
        <v>3357</v>
      </c>
      <c r="C129" s="168" t="s">
        <v>333</v>
      </c>
    </row>
    <row r="130" spans="1:3" ht="16.350000000000001" customHeight="1">
      <c r="A130" s="173" t="s">
        <v>3357</v>
      </c>
      <c r="B130" s="173" t="s">
        <v>3357</v>
      </c>
      <c r="C130" s="168" t="s">
        <v>333</v>
      </c>
    </row>
    <row r="131" spans="1:3" ht="16.350000000000001" customHeight="1">
      <c r="A131" s="173" t="s">
        <v>3357</v>
      </c>
      <c r="B131" s="173" t="s">
        <v>3357</v>
      </c>
      <c r="C131" s="168" t="s">
        <v>333</v>
      </c>
    </row>
    <row r="132" spans="1:3" ht="16.350000000000001" customHeight="1">
      <c r="A132" s="168" t="s">
        <v>2119</v>
      </c>
      <c r="B132" s="168" t="s">
        <v>2119</v>
      </c>
      <c r="C132" s="168" t="s">
        <v>334</v>
      </c>
    </row>
    <row r="133" spans="1:3" ht="16.350000000000001" customHeight="1">
      <c r="A133" s="168" t="s">
        <v>2119</v>
      </c>
      <c r="B133" s="168" t="s">
        <v>2119</v>
      </c>
      <c r="C133" s="168" t="s">
        <v>334</v>
      </c>
    </row>
    <row r="134" spans="1:3" ht="16.350000000000001" customHeight="1">
      <c r="A134" s="168" t="s">
        <v>2119</v>
      </c>
      <c r="B134" s="168" t="s">
        <v>2119</v>
      </c>
      <c r="C134" s="168" t="s">
        <v>334</v>
      </c>
    </row>
    <row r="135" spans="1:3" ht="16.350000000000001" customHeight="1">
      <c r="A135" s="168" t="s">
        <v>2119</v>
      </c>
      <c r="B135" s="168" t="s">
        <v>2119</v>
      </c>
      <c r="C135" s="168" t="s">
        <v>334</v>
      </c>
    </row>
    <row r="136" spans="1:3" ht="16.350000000000001" customHeight="1">
      <c r="A136" s="168" t="s">
        <v>2120</v>
      </c>
      <c r="B136" s="168" t="s">
        <v>2120</v>
      </c>
      <c r="C136" s="168" t="s">
        <v>334</v>
      </c>
    </row>
    <row r="137" spans="1:3" ht="16.350000000000001" customHeight="1">
      <c r="A137" s="168" t="s">
        <v>2120</v>
      </c>
      <c r="B137" s="168" t="s">
        <v>2120</v>
      </c>
      <c r="C137" s="168" t="s">
        <v>334</v>
      </c>
    </row>
    <row r="138" spans="1:3" ht="16.350000000000001" customHeight="1">
      <c r="A138" s="168" t="s">
        <v>2121</v>
      </c>
      <c r="B138" s="168" t="s">
        <v>2121</v>
      </c>
      <c r="C138" s="168" t="s">
        <v>334</v>
      </c>
    </row>
    <row r="139" spans="1:3" ht="16.350000000000001" customHeight="1">
      <c r="A139" s="168" t="s">
        <v>2121</v>
      </c>
      <c r="B139" s="168" t="s">
        <v>2121</v>
      </c>
      <c r="C139" s="168" t="s">
        <v>334</v>
      </c>
    </row>
    <row r="140" spans="1:3" ht="16.350000000000001" customHeight="1">
      <c r="A140" s="168" t="s">
        <v>2122</v>
      </c>
      <c r="B140" s="168" t="s">
        <v>2122</v>
      </c>
      <c r="C140" s="168" t="s">
        <v>334</v>
      </c>
    </row>
    <row r="141" spans="1:3" ht="16.350000000000001" customHeight="1">
      <c r="A141" s="168" t="s">
        <v>2122</v>
      </c>
      <c r="B141" s="168" t="s">
        <v>2122</v>
      </c>
      <c r="C141" s="168" t="s">
        <v>334</v>
      </c>
    </row>
    <row r="142" spans="1:3" ht="16.350000000000001" customHeight="1">
      <c r="A142" s="168" t="s">
        <v>2122</v>
      </c>
      <c r="B142" s="168" t="s">
        <v>2122</v>
      </c>
      <c r="C142" s="168" t="s">
        <v>334</v>
      </c>
    </row>
    <row r="143" spans="1:3" ht="16.350000000000001" customHeight="1">
      <c r="A143" s="168" t="s">
        <v>2122</v>
      </c>
      <c r="B143" s="168" t="s">
        <v>2122</v>
      </c>
      <c r="C143" s="168" t="s">
        <v>334</v>
      </c>
    </row>
    <row r="144" spans="1:3" ht="16.350000000000001" customHeight="1">
      <c r="A144" s="168" t="s">
        <v>2123</v>
      </c>
      <c r="B144" s="168" t="s">
        <v>2123</v>
      </c>
      <c r="C144" s="168" t="s">
        <v>334</v>
      </c>
    </row>
    <row r="145" spans="1:3" ht="16.350000000000001" customHeight="1">
      <c r="A145" s="168" t="s">
        <v>2123</v>
      </c>
      <c r="B145" s="168" t="s">
        <v>2123</v>
      </c>
      <c r="C145" s="168" t="s">
        <v>334</v>
      </c>
    </row>
    <row r="146" spans="1:3" ht="16.350000000000001" customHeight="1">
      <c r="A146" s="168" t="s">
        <v>2123</v>
      </c>
      <c r="B146" s="168" t="s">
        <v>2123</v>
      </c>
      <c r="C146" s="168" t="s">
        <v>334</v>
      </c>
    </row>
    <row r="147" spans="1:3" ht="16.350000000000001" customHeight="1">
      <c r="A147" s="168" t="s">
        <v>2124</v>
      </c>
      <c r="B147" s="168" t="s">
        <v>2124</v>
      </c>
      <c r="C147" s="168" t="s">
        <v>334</v>
      </c>
    </row>
    <row r="148" spans="1:3" ht="16.350000000000001" customHeight="1">
      <c r="A148" s="168" t="s">
        <v>2124</v>
      </c>
      <c r="B148" s="168" t="s">
        <v>2124</v>
      </c>
      <c r="C148" s="168" t="s">
        <v>334</v>
      </c>
    </row>
    <row r="149" spans="1:3" ht="16.350000000000001" customHeight="1">
      <c r="A149" s="168" t="s">
        <v>2124</v>
      </c>
      <c r="B149" s="168" t="s">
        <v>2124</v>
      </c>
      <c r="C149" s="168" t="s">
        <v>334</v>
      </c>
    </row>
    <row r="150" spans="1:3" ht="16.350000000000001" customHeight="1">
      <c r="A150" s="168" t="s">
        <v>2125</v>
      </c>
      <c r="B150" s="168" t="s">
        <v>2125</v>
      </c>
      <c r="C150" s="168" t="s">
        <v>334</v>
      </c>
    </row>
    <row r="151" spans="1:3" ht="16.350000000000001" customHeight="1">
      <c r="A151" s="168" t="s">
        <v>3354</v>
      </c>
      <c r="B151" s="168" t="s">
        <v>3354</v>
      </c>
      <c r="C151" s="168" t="s">
        <v>334</v>
      </c>
    </row>
    <row r="152" spans="1:3" ht="16.350000000000001" customHeight="1">
      <c r="A152" s="168" t="s">
        <v>3354</v>
      </c>
      <c r="B152" s="168" t="s">
        <v>3354</v>
      </c>
      <c r="C152" s="168" t="s">
        <v>334</v>
      </c>
    </row>
    <row r="153" spans="1:3" ht="16.350000000000001" customHeight="1">
      <c r="A153" s="168" t="s">
        <v>2127</v>
      </c>
      <c r="B153" s="168" t="s">
        <v>2127</v>
      </c>
      <c r="C153" s="168" t="s">
        <v>334</v>
      </c>
    </row>
    <row r="154" spans="1:3" ht="16.350000000000001" customHeight="1">
      <c r="A154" s="168" t="s">
        <v>2127</v>
      </c>
      <c r="B154" s="168" t="s">
        <v>2127</v>
      </c>
      <c r="C154" s="168" t="s">
        <v>334</v>
      </c>
    </row>
    <row r="155" spans="1:3" ht="16.350000000000001" customHeight="1">
      <c r="A155" s="168" t="s">
        <v>2127</v>
      </c>
      <c r="B155" s="168" t="s">
        <v>2127</v>
      </c>
      <c r="C155" s="168" t="s">
        <v>334</v>
      </c>
    </row>
    <row r="156" spans="1:3" ht="16.350000000000001" customHeight="1">
      <c r="A156" s="168" t="s">
        <v>2127</v>
      </c>
      <c r="B156" s="168" t="s">
        <v>2127</v>
      </c>
      <c r="C156" s="168" t="s">
        <v>334</v>
      </c>
    </row>
    <row r="157" spans="1:3" ht="16.350000000000001" customHeight="1">
      <c r="A157" s="168" t="s">
        <v>2128</v>
      </c>
      <c r="B157" s="168" t="s">
        <v>2128</v>
      </c>
      <c r="C157" s="168" t="s">
        <v>334</v>
      </c>
    </row>
    <row r="158" spans="1:3" ht="16.350000000000001" customHeight="1">
      <c r="A158" s="168" t="s">
        <v>2128</v>
      </c>
      <c r="B158" s="168" t="s">
        <v>2128</v>
      </c>
      <c r="C158" s="168" t="s">
        <v>334</v>
      </c>
    </row>
    <row r="159" spans="1:3" ht="16.350000000000001" customHeight="1">
      <c r="A159" s="168" t="s">
        <v>2128</v>
      </c>
      <c r="B159" s="168" t="s">
        <v>2128</v>
      </c>
      <c r="C159" s="168" t="s">
        <v>334</v>
      </c>
    </row>
    <row r="160" spans="1:3" ht="16.350000000000001" customHeight="1">
      <c r="A160" s="168" t="s">
        <v>2128</v>
      </c>
      <c r="B160" s="168" t="s">
        <v>2128</v>
      </c>
      <c r="C160" s="168" t="s">
        <v>334</v>
      </c>
    </row>
    <row r="161" spans="1:3" ht="16.350000000000001" customHeight="1">
      <c r="A161" s="168" t="s">
        <v>2129</v>
      </c>
      <c r="B161" s="168" t="s">
        <v>2129</v>
      </c>
      <c r="C161" s="168" t="s">
        <v>334</v>
      </c>
    </row>
    <row r="162" spans="1:3" ht="16.350000000000001" customHeight="1">
      <c r="A162" s="168" t="s">
        <v>2129</v>
      </c>
      <c r="B162" s="168" t="s">
        <v>2129</v>
      </c>
      <c r="C162" s="168" t="s">
        <v>334</v>
      </c>
    </row>
    <row r="163" spans="1:3" ht="16.350000000000001" customHeight="1">
      <c r="A163" s="168" t="s">
        <v>2129</v>
      </c>
      <c r="B163" s="168" t="s">
        <v>2129</v>
      </c>
      <c r="C163" s="168" t="s">
        <v>334</v>
      </c>
    </row>
    <row r="164" spans="1:3" ht="16.350000000000001" customHeight="1">
      <c r="A164" s="168" t="s">
        <v>2129</v>
      </c>
      <c r="B164" s="168" t="s">
        <v>2129</v>
      </c>
      <c r="C164" s="168" t="s">
        <v>334</v>
      </c>
    </row>
    <row r="165" spans="1:3" ht="16.350000000000001" customHeight="1">
      <c r="A165" s="168" t="s">
        <v>2130</v>
      </c>
      <c r="B165" s="168" t="s">
        <v>2130</v>
      </c>
      <c r="C165" s="168" t="s">
        <v>334</v>
      </c>
    </row>
    <row r="166" spans="1:3" ht="16.350000000000001" customHeight="1">
      <c r="A166" s="168" t="s">
        <v>2130</v>
      </c>
      <c r="B166" s="168" t="s">
        <v>2130</v>
      </c>
      <c r="C166" s="168" t="s">
        <v>334</v>
      </c>
    </row>
    <row r="167" spans="1:3" ht="16.350000000000001" customHeight="1">
      <c r="A167" s="168" t="s">
        <v>2130</v>
      </c>
      <c r="B167" s="168" t="s">
        <v>2130</v>
      </c>
      <c r="C167" s="168" t="s">
        <v>334</v>
      </c>
    </row>
    <row r="168" spans="1:3" ht="16.350000000000001" customHeight="1">
      <c r="A168" s="168" t="s">
        <v>2130</v>
      </c>
      <c r="B168" s="168" t="s">
        <v>2130</v>
      </c>
      <c r="C168" s="168" t="s">
        <v>334</v>
      </c>
    </row>
    <row r="169" spans="1:3" ht="16.350000000000001" customHeight="1">
      <c r="A169" s="168" t="s">
        <v>2130</v>
      </c>
      <c r="B169" s="168" t="s">
        <v>2130</v>
      </c>
      <c r="C169" s="168" t="s">
        <v>334</v>
      </c>
    </row>
    <row r="170" spans="1:3" ht="16.350000000000001" customHeight="1">
      <c r="A170" s="168" t="s">
        <v>2131</v>
      </c>
      <c r="B170" s="168" t="s">
        <v>2131</v>
      </c>
      <c r="C170" s="168" t="s">
        <v>334</v>
      </c>
    </row>
    <row r="171" spans="1:3" ht="16.350000000000001" customHeight="1">
      <c r="A171" s="168" t="s">
        <v>2131</v>
      </c>
      <c r="B171" s="168" t="s">
        <v>2131</v>
      </c>
      <c r="C171" s="168" t="s">
        <v>334</v>
      </c>
    </row>
    <row r="172" spans="1:3" ht="16.350000000000001" customHeight="1">
      <c r="A172" s="168" t="s">
        <v>2131</v>
      </c>
      <c r="B172" s="168" t="s">
        <v>2131</v>
      </c>
      <c r="C172" s="168" t="s">
        <v>334</v>
      </c>
    </row>
    <row r="173" spans="1:3" ht="16.350000000000001" customHeight="1">
      <c r="A173" s="168" t="s">
        <v>2131</v>
      </c>
      <c r="B173" s="168" t="s">
        <v>2131</v>
      </c>
      <c r="C173" s="168" t="s">
        <v>334</v>
      </c>
    </row>
    <row r="174" spans="1:3" ht="16.350000000000001" customHeight="1">
      <c r="A174" s="168" t="s">
        <v>2131</v>
      </c>
      <c r="B174" s="168" t="s">
        <v>2131</v>
      </c>
      <c r="C174" s="168" t="s">
        <v>334</v>
      </c>
    </row>
    <row r="175" spans="1:3" ht="16.350000000000001" customHeight="1">
      <c r="A175" s="168" t="s">
        <v>2132</v>
      </c>
      <c r="B175" s="168" t="s">
        <v>2132</v>
      </c>
      <c r="C175" s="168" t="s">
        <v>334</v>
      </c>
    </row>
    <row r="176" spans="1:3" ht="16.350000000000001" customHeight="1">
      <c r="A176" s="168" t="s">
        <v>2132</v>
      </c>
      <c r="B176" s="168" t="s">
        <v>2132</v>
      </c>
      <c r="C176" s="168" t="s">
        <v>334</v>
      </c>
    </row>
    <row r="177" spans="1:3" ht="16.350000000000001" customHeight="1">
      <c r="A177" s="168" t="s">
        <v>2132</v>
      </c>
      <c r="B177" s="168" t="s">
        <v>2132</v>
      </c>
      <c r="C177" s="168" t="s">
        <v>334</v>
      </c>
    </row>
    <row r="178" spans="1:3" ht="16.350000000000001" customHeight="1">
      <c r="A178" s="168" t="s">
        <v>2132</v>
      </c>
      <c r="B178" s="168" t="s">
        <v>2132</v>
      </c>
      <c r="C178" s="168" t="s">
        <v>334</v>
      </c>
    </row>
    <row r="179" spans="1:3" ht="16.350000000000001" customHeight="1">
      <c r="A179" s="168" t="s">
        <v>2132</v>
      </c>
      <c r="B179" s="168" t="s">
        <v>2132</v>
      </c>
      <c r="C179" s="168" t="s">
        <v>334</v>
      </c>
    </row>
    <row r="180" spans="1:3" ht="16.350000000000001" customHeight="1">
      <c r="A180" s="168" t="s">
        <v>2133</v>
      </c>
      <c r="B180" s="168" t="s">
        <v>2133</v>
      </c>
      <c r="C180" s="168" t="s">
        <v>334</v>
      </c>
    </row>
    <row r="181" spans="1:3" ht="16.350000000000001" customHeight="1">
      <c r="A181" s="168" t="s">
        <v>2133</v>
      </c>
      <c r="B181" s="168" t="s">
        <v>2133</v>
      </c>
      <c r="C181" s="168" t="s">
        <v>334</v>
      </c>
    </row>
    <row r="182" spans="1:3" ht="16.350000000000001" customHeight="1">
      <c r="A182" s="168" t="s">
        <v>2134</v>
      </c>
      <c r="B182" s="168" t="s">
        <v>2134</v>
      </c>
      <c r="C182" s="168" t="s">
        <v>334</v>
      </c>
    </row>
    <row r="183" spans="1:3" ht="16.350000000000001" customHeight="1">
      <c r="A183" s="168" t="s">
        <v>2134</v>
      </c>
      <c r="B183" s="168" t="s">
        <v>2134</v>
      </c>
      <c r="C183" s="168" t="s">
        <v>334</v>
      </c>
    </row>
    <row r="184" spans="1:3" ht="16.350000000000001" customHeight="1">
      <c r="A184" s="168" t="s">
        <v>2135</v>
      </c>
      <c r="B184" s="168" t="s">
        <v>2135</v>
      </c>
      <c r="C184" s="168" t="s">
        <v>334</v>
      </c>
    </row>
    <row r="185" spans="1:3" ht="16.350000000000001" customHeight="1">
      <c r="A185" s="168" t="s">
        <v>2135</v>
      </c>
      <c r="B185" s="168" t="s">
        <v>2135</v>
      </c>
      <c r="C185" s="168" t="s">
        <v>334</v>
      </c>
    </row>
    <row r="186" spans="1:3" ht="16.350000000000001" customHeight="1">
      <c r="A186" s="168" t="s">
        <v>3355</v>
      </c>
      <c r="B186" s="168" t="s">
        <v>3355</v>
      </c>
      <c r="C186" s="168" t="s">
        <v>334</v>
      </c>
    </row>
    <row r="187" spans="1:3" ht="16.350000000000001" customHeight="1">
      <c r="A187" s="168" t="s">
        <v>3355</v>
      </c>
      <c r="B187" s="168" t="s">
        <v>3355</v>
      </c>
      <c r="C187" s="168" t="s">
        <v>334</v>
      </c>
    </row>
    <row r="188" spans="1:3" ht="16.350000000000001" customHeight="1">
      <c r="A188" s="168" t="s">
        <v>3355</v>
      </c>
      <c r="B188" s="168" t="s">
        <v>3355</v>
      </c>
      <c r="C188" s="168" t="s">
        <v>334</v>
      </c>
    </row>
    <row r="189" spans="1:3" ht="16.350000000000001" customHeight="1">
      <c r="A189" s="168" t="s">
        <v>3356</v>
      </c>
      <c r="B189" s="168" t="s">
        <v>3356</v>
      </c>
      <c r="C189" s="168" t="s">
        <v>334</v>
      </c>
    </row>
    <row r="190" spans="1:3" ht="16.350000000000001" customHeight="1">
      <c r="A190" s="168" t="s">
        <v>3356</v>
      </c>
      <c r="B190" s="168" t="s">
        <v>3356</v>
      </c>
      <c r="C190" s="168" t="s">
        <v>334</v>
      </c>
    </row>
    <row r="191" spans="1:3" ht="16.350000000000001" customHeight="1">
      <c r="A191" s="168" t="s">
        <v>3356</v>
      </c>
      <c r="B191" s="168" t="s">
        <v>3356</v>
      </c>
      <c r="C191" s="168" t="s">
        <v>334</v>
      </c>
    </row>
    <row r="192" spans="1:3" ht="16.350000000000001" customHeight="1">
      <c r="A192" s="168" t="s">
        <v>3357</v>
      </c>
      <c r="B192" s="168" t="s">
        <v>3357</v>
      </c>
      <c r="C192" s="168" t="s">
        <v>334</v>
      </c>
    </row>
    <row r="193" spans="1:3" ht="16.350000000000001" customHeight="1">
      <c r="A193" s="168" t="s">
        <v>3357</v>
      </c>
      <c r="B193" s="168" t="s">
        <v>3357</v>
      </c>
      <c r="C193" s="168" t="s">
        <v>334</v>
      </c>
    </row>
    <row r="194" spans="1:3" ht="16.350000000000001" customHeight="1">
      <c r="A194" s="168" t="s">
        <v>3357</v>
      </c>
      <c r="B194" s="168" t="s">
        <v>3357</v>
      </c>
      <c r="C194" s="168" t="s">
        <v>334</v>
      </c>
    </row>
    <row r="195" spans="1:3" ht="16.350000000000001" customHeight="1">
      <c r="A195" s="173" t="s">
        <v>2102</v>
      </c>
      <c r="B195" s="168" t="s">
        <v>2119</v>
      </c>
      <c r="C195" s="168" t="s">
        <v>108</v>
      </c>
    </row>
    <row r="196" spans="1:3" ht="16.350000000000001" customHeight="1">
      <c r="A196" s="173" t="s">
        <v>2102</v>
      </c>
      <c r="B196" s="168" t="s">
        <v>2119</v>
      </c>
      <c r="C196" s="168" t="s">
        <v>108</v>
      </c>
    </row>
    <row r="197" spans="1:3" ht="16.350000000000001" customHeight="1">
      <c r="A197" s="173" t="s">
        <v>2102</v>
      </c>
      <c r="B197" s="168" t="s">
        <v>2119</v>
      </c>
      <c r="C197" s="168" t="s">
        <v>108</v>
      </c>
    </row>
    <row r="198" spans="1:3" ht="16.350000000000001" customHeight="1">
      <c r="A198" s="173" t="s">
        <v>2102</v>
      </c>
      <c r="B198" s="168" t="s">
        <v>2119</v>
      </c>
      <c r="C198" s="168" t="s">
        <v>108</v>
      </c>
    </row>
    <row r="199" spans="1:3" ht="16.350000000000001" customHeight="1">
      <c r="A199" s="173" t="s">
        <v>2103</v>
      </c>
      <c r="B199" s="168" t="s">
        <v>2120</v>
      </c>
      <c r="C199" s="168" t="s">
        <v>108</v>
      </c>
    </row>
    <row r="200" spans="1:3" ht="16.350000000000001" customHeight="1">
      <c r="A200" s="173" t="s">
        <v>2103</v>
      </c>
      <c r="B200" s="168" t="s">
        <v>2120</v>
      </c>
      <c r="C200" s="168" t="s">
        <v>108</v>
      </c>
    </row>
    <row r="201" spans="1:3" ht="16.350000000000001" customHeight="1">
      <c r="A201" s="173" t="s">
        <v>2104</v>
      </c>
      <c r="B201" s="168" t="s">
        <v>2121</v>
      </c>
      <c r="C201" s="168" t="s">
        <v>108</v>
      </c>
    </row>
    <row r="202" spans="1:3" ht="16.350000000000001" customHeight="1">
      <c r="A202" s="173" t="s">
        <v>2104</v>
      </c>
      <c r="B202" s="168" t="s">
        <v>2121</v>
      </c>
      <c r="C202" s="168" t="s">
        <v>108</v>
      </c>
    </row>
    <row r="203" spans="1:3" ht="16.350000000000001" customHeight="1">
      <c r="A203" s="173" t="s">
        <v>2105</v>
      </c>
      <c r="B203" s="168" t="s">
        <v>2122</v>
      </c>
      <c r="C203" s="168" t="s">
        <v>108</v>
      </c>
    </row>
    <row r="204" spans="1:3" ht="16.350000000000001" customHeight="1">
      <c r="A204" s="173" t="s">
        <v>2105</v>
      </c>
      <c r="B204" s="168" t="s">
        <v>2122</v>
      </c>
      <c r="C204" s="168" t="s">
        <v>108</v>
      </c>
    </row>
    <row r="205" spans="1:3" ht="16.350000000000001" customHeight="1">
      <c r="A205" s="173" t="s">
        <v>2105</v>
      </c>
      <c r="B205" s="168" t="s">
        <v>2122</v>
      </c>
      <c r="C205" s="168" t="s">
        <v>108</v>
      </c>
    </row>
    <row r="206" spans="1:3" ht="16.350000000000001" customHeight="1">
      <c r="A206" s="173" t="s">
        <v>2105</v>
      </c>
      <c r="B206" s="168" t="s">
        <v>2122</v>
      </c>
      <c r="C206" s="168" t="s">
        <v>108</v>
      </c>
    </row>
    <row r="207" spans="1:3" ht="16.350000000000001" customHeight="1">
      <c r="A207" s="173" t="s">
        <v>2106</v>
      </c>
      <c r="B207" s="168" t="s">
        <v>2123</v>
      </c>
      <c r="C207" s="168" t="s">
        <v>108</v>
      </c>
    </row>
    <row r="208" spans="1:3" ht="16.350000000000001" customHeight="1">
      <c r="A208" s="173" t="s">
        <v>2106</v>
      </c>
      <c r="B208" s="168" t="s">
        <v>2123</v>
      </c>
      <c r="C208" s="168" t="s">
        <v>108</v>
      </c>
    </row>
    <row r="209" spans="1:3" ht="16.350000000000001" customHeight="1">
      <c r="A209" s="173" t="s">
        <v>2106</v>
      </c>
      <c r="B209" s="168" t="s">
        <v>2123</v>
      </c>
      <c r="C209" s="168" t="s">
        <v>108</v>
      </c>
    </row>
    <row r="210" spans="1:3" ht="16.350000000000001" customHeight="1">
      <c r="A210" s="173" t="s">
        <v>2107</v>
      </c>
      <c r="B210" s="168" t="s">
        <v>2124</v>
      </c>
      <c r="C210" s="168" t="s">
        <v>108</v>
      </c>
    </row>
    <row r="211" spans="1:3" ht="16.350000000000001" customHeight="1">
      <c r="A211" s="173" t="s">
        <v>2107</v>
      </c>
      <c r="B211" s="168" t="s">
        <v>2124</v>
      </c>
      <c r="C211" s="168" t="s">
        <v>108</v>
      </c>
    </row>
    <row r="212" spans="1:3" ht="16.350000000000001" customHeight="1">
      <c r="A212" s="173" t="s">
        <v>2107</v>
      </c>
      <c r="B212" s="168" t="s">
        <v>2124</v>
      </c>
      <c r="C212" s="168" t="s">
        <v>108</v>
      </c>
    </row>
    <row r="213" spans="1:3" ht="16.350000000000001" customHeight="1">
      <c r="A213" s="173" t="s">
        <v>2108</v>
      </c>
      <c r="B213" s="168" t="s">
        <v>2125</v>
      </c>
      <c r="C213" s="168" t="s">
        <v>108</v>
      </c>
    </row>
    <row r="214" spans="1:3" ht="16.350000000000001" customHeight="1">
      <c r="A214" s="173" t="s">
        <v>2109</v>
      </c>
      <c r="B214" s="168" t="s">
        <v>2126</v>
      </c>
      <c r="C214" s="168" t="s">
        <v>108</v>
      </c>
    </row>
    <row r="215" spans="1:3" ht="16.350000000000001" customHeight="1">
      <c r="A215" s="173" t="s">
        <v>2109</v>
      </c>
      <c r="B215" s="168" t="s">
        <v>2126</v>
      </c>
      <c r="C215" s="168" t="s">
        <v>108</v>
      </c>
    </row>
    <row r="216" spans="1:3" ht="16.350000000000001" customHeight="1">
      <c r="A216" s="173" t="s">
        <v>2110</v>
      </c>
      <c r="B216" s="168" t="s">
        <v>2127</v>
      </c>
      <c r="C216" s="168" t="s">
        <v>108</v>
      </c>
    </row>
    <row r="217" spans="1:3" ht="16.350000000000001" customHeight="1">
      <c r="A217" s="173" t="s">
        <v>2110</v>
      </c>
      <c r="B217" s="168" t="s">
        <v>2127</v>
      </c>
      <c r="C217" s="168" t="s">
        <v>108</v>
      </c>
    </row>
    <row r="218" spans="1:3" ht="16.350000000000001" customHeight="1">
      <c r="A218" s="173" t="s">
        <v>2110</v>
      </c>
      <c r="B218" s="168" t="s">
        <v>2127</v>
      </c>
      <c r="C218" s="168" t="s">
        <v>108</v>
      </c>
    </row>
    <row r="219" spans="1:3" ht="16.350000000000001" customHeight="1">
      <c r="A219" s="173" t="s">
        <v>2110</v>
      </c>
      <c r="B219" s="168" t="s">
        <v>2127</v>
      </c>
      <c r="C219" s="168" t="s">
        <v>108</v>
      </c>
    </row>
    <row r="220" spans="1:3" ht="16.350000000000001" customHeight="1">
      <c r="A220" s="173" t="s">
        <v>2111</v>
      </c>
      <c r="B220" s="168" t="s">
        <v>2128</v>
      </c>
      <c r="C220" s="168" t="s">
        <v>108</v>
      </c>
    </row>
    <row r="221" spans="1:3" ht="16.350000000000001" customHeight="1">
      <c r="A221" s="173" t="s">
        <v>2111</v>
      </c>
      <c r="B221" s="168" t="s">
        <v>2128</v>
      </c>
      <c r="C221" s="168" t="s">
        <v>108</v>
      </c>
    </row>
    <row r="222" spans="1:3" ht="16.350000000000001" customHeight="1">
      <c r="A222" s="173" t="s">
        <v>2111</v>
      </c>
      <c r="B222" s="168" t="s">
        <v>2128</v>
      </c>
      <c r="C222" s="168" t="s">
        <v>108</v>
      </c>
    </row>
    <row r="223" spans="1:3" ht="16.350000000000001" customHeight="1">
      <c r="A223" s="173" t="s">
        <v>2111</v>
      </c>
      <c r="B223" s="168" t="s">
        <v>2128</v>
      </c>
      <c r="C223" s="168" t="s">
        <v>108</v>
      </c>
    </row>
    <row r="224" spans="1:3" ht="16.350000000000001" customHeight="1">
      <c r="A224" s="173" t="s">
        <v>2112</v>
      </c>
      <c r="B224" s="168" t="s">
        <v>2129</v>
      </c>
      <c r="C224" s="168" t="s">
        <v>108</v>
      </c>
    </row>
    <row r="225" spans="1:3" ht="16.350000000000001" customHeight="1">
      <c r="A225" s="173" t="s">
        <v>2112</v>
      </c>
      <c r="B225" s="168" t="s">
        <v>2129</v>
      </c>
      <c r="C225" s="168" t="s">
        <v>108</v>
      </c>
    </row>
    <row r="226" spans="1:3" ht="16.350000000000001" customHeight="1">
      <c r="A226" s="173" t="s">
        <v>2112</v>
      </c>
      <c r="B226" s="168" t="s">
        <v>2129</v>
      </c>
      <c r="C226" s="168" t="s">
        <v>108</v>
      </c>
    </row>
    <row r="227" spans="1:3" ht="16.350000000000001" customHeight="1">
      <c r="A227" s="173" t="s">
        <v>2112</v>
      </c>
      <c r="B227" s="168" t="s">
        <v>2129</v>
      </c>
      <c r="C227" s="168" t="s">
        <v>108</v>
      </c>
    </row>
    <row r="228" spans="1:3" ht="16.350000000000001" customHeight="1">
      <c r="A228" s="173" t="s">
        <v>2113</v>
      </c>
      <c r="B228" s="168" t="s">
        <v>2130</v>
      </c>
      <c r="C228" s="168" t="s">
        <v>108</v>
      </c>
    </row>
    <row r="229" spans="1:3" ht="16.350000000000001" customHeight="1">
      <c r="A229" s="173" t="s">
        <v>2113</v>
      </c>
      <c r="B229" s="168" t="s">
        <v>2130</v>
      </c>
      <c r="C229" s="168" t="s">
        <v>108</v>
      </c>
    </row>
    <row r="230" spans="1:3" ht="16.350000000000001" customHeight="1">
      <c r="A230" s="173" t="s">
        <v>2113</v>
      </c>
      <c r="B230" s="168" t="s">
        <v>2130</v>
      </c>
      <c r="C230" s="168" t="s">
        <v>108</v>
      </c>
    </row>
    <row r="231" spans="1:3" ht="16.350000000000001" customHeight="1">
      <c r="A231" s="173" t="s">
        <v>2113</v>
      </c>
      <c r="B231" s="168" t="s">
        <v>2130</v>
      </c>
      <c r="C231" s="168" t="s">
        <v>108</v>
      </c>
    </row>
    <row r="232" spans="1:3" ht="16.350000000000001" customHeight="1">
      <c r="A232" s="173" t="s">
        <v>2113</v>
      </c>
      <c r="B232" s="168" t="s">
        <v>2130</v>
      </c>
      <c r="C232" s="168" t="s">
        <v>108</v>
      </c>
    </row>
    <row r="233" spans="1:3" ht="16.350000000000001" customHeight="1">
      <c r="A233" s="173" t="s">
        <v>2114</v>
      </c>
      <c r="B233" s="168" t="s">
        <v>2131</v>
      </c>
      <c r="C233" s="168" t="s">
        <v>108</v>
      </c>
    </row>
    <row r="234" spans="1:3" ht="16.350000000000001" customHeight="1">
      <c r="A234" s="173" t="s">
        <v>2114</v>
      </c>
      <c r="B234" s="168" t="s">
        <v>2131</v>
      </c>
      <c r="C234" s="168" t="s">
        <v>108</v>
      </c>
    </row>
    <row r="235" spans="1:3" ht="16.350000000000001" customHeight="1">
      <c r="A235" s="173" t="s">
        <v>2114</v>
      </c>
      <c r="B235" s="168" t="s">
        <v>2131</v>
      </c>
      <c r="C235" s="168" t="s">
        <v>108</v>
      </c>
    </row>
    <row r="236" spans="1:3" ht="16.350000000000001" customHeight="1">
      <c r="A236" s="173" t="s">
        <v>2114</v>
      </c>
      <c r="B236" s="168" t="s">
        <v>2131</v>
      </c>
      <c r="C236" s="168" t="s">
        <v>108</v>
      </c>
    </row>
    <row r="237" spans="1:3" ht="16.350000000000001" customHeight="1">
      <c r="A237" s="173" t="s">
        <v>2114</v>
      </c>
      <c r="B237" s="168" t="s">
        <v>2131</v>
      </c>
      <c r="C237" s="168" t="s">
        <v>108</v>
      </c>
    </row>
    <row r="238" spans="1:3" ht="16.350000000000001" customHeight="1">
      <c r="A238" s="173" t="s">
        <v>2115</v>
      </c>
      <c r="B238" s="168" t="s">
        <v>2132</v>
      </c>
      <c r="C238" s="168" t="s">
        <v>108</v>
      </c>
    </row>
    <row r="239" spans="1:3" ht="16.350000000000001" customHeight="1">
      <c r="A239" s="173" t="s">
        <v>2115</v>
      </c>
      <c r="B239" s="168" t="s">
        <v>2132</v>
      </c>
      <c r="C239" s="168" t="s">
        <v>108</v>
      </c>
    </row>
    <row r="240" spans="1:3" ht="16.350000000000001" customHeight="1">
      <c r="A240" s="173" t="s">
        <v>2115</v>
      </c>
      <c r="B240" s="168" t="s">
        <v>2132</v>
      </c>
      <c r="C240" s="168" t="s">
        <v>108</v>
      </c>
    </row>
    <row r="241" spans="1:3" ht="16.350000000000001" customHeight="1">
      <c r="A241" s="173" t="s">
        <v>2115</v>
      </c>
      <c r="B241" s="168" t="s">
        <v>2132</v>
      </c>
      <c r="C241" s="168" t="s">
        <v>108</v>
      </c>
    </row>
    <row r="242" spans="1:3" ht="16.350000000000001" customHeight="1">
      <c r="A242" s="173" t="s">
        <v>2115</v>
      </c>
      <c r="B242" s="168" t="s">
        <v>2132</v>
      </c>
      <c r="C242" s="168" t="s">
        <v>108</v>
      </c>
    </row>
    <row r="243" spans="1:3" ht="16.350000000000001" customHeight="1">
      <c r="A243" s="173" t="s">
        <v>2116</v>
      </c>
      <c r="B243" s="168" t="s">
        <v>2133</v>
      </c>
      <c r="C243" s="168" t="s">
        <v>108</v>
      </c>
    </row>
    <row r="244" spans="1:3" ht="16.350000000000001" customHeight="1">
      <c r="A244" s="173" t="s">
        <v>2116</v>
      </c>
      <c r="B244" s="168" t="s">
        <v>2133</v>
      </c>
      <c r="C244" s="168" t="s">
        <v>108</v>
      </c>
    </row>
    <row r="245" spans="1:3" ht="16.350000000000001" customHeight="1">
      <c r="A245" s="173" t="s">
        <v>2117</v>
      </c>
      <c r="B245" s="168" t="s">
        <v>2134</v>
      </c>
      <c r="C245" s="168" t="s">
        <v>108</v>
      </c>
    </row>
    <row r="246" spans="1:3" ht="16.350000000000001" customHeight="1">
      <c r="A246" s="173" t="s">
        <v>2117</v>
      </c>
      <c r="B246" s="168" t="s">
        <v>2134</v>
      </c>
      <c r="C246" s="168" t="s">
        <v>108</v>
      </c>
    </row>
    <row r="247" spans="1:3" ht="16.350000000000001" customHeight="1">
      <c r="A247" s="173" t="s">
        <v>2118</v>
      </c>
      <c r="B247" s="168" t="s">
        <v>2135</v>
      </c>
      <c r="C247" s="168" t="s">
        <v>108</v>
      </c>
    </row>
    <row r="248" spans="1:3" ht="16.350000000000001" customHeight="1">
      <c r="A248" s="173" t="s">
        <v>2118</v>
      </c>
      <c r="B248" s="168" t="s">
        <v>2135</v>
      </c>
      <c r="C248" s="168" t="s">
        <v>108</v>
      </c>
    </row>
    <row r="249" spans="1:3" ht="16.350000000000001" customHeight="1">
      <c r="A249" s="173" t="s">
        <v>3358</v>
      </c>
      <c r="B249" s="168" t="s">
        <v>3355</v>
      </c>
      <c r="C249" s="168" t="s">
        <v>108</v>
      </c>
    </row>
    <row r="250" spans="1:3" ht="16.350000000000001" customHeight="1">
      <c r="A250" s="173" t="s">
        <v>3358</v>
      </c>
      <c r="B250" s="168" t="s">
        <v>3355</v>
      </c>
      <c r="C250" s="168" t="s">
        <v>108</v>
      </c>
    </row>
    <row r="251" spans="1:3" ht="16.350000000000001" customHeight="1">
      <c r="A251" s="173" t="s">
        <v>3358</v>
      </c>
      <c r="B251" s="168" t="s">
        <v>3355</v>
      </c>
      <c r="C251" s="168" t="s">
        <v>108</v>
      </c>
    </row>
    <row r="252" spans="1:3" ht="16.350000000000001" customHeight="1">
      <c r="A252" s="173" t="s">
        <v>3359</v>
      </c>
      <c r="B252" s="168" t="s">
        <v>3356</v>
      </c>
      <c r="C252" s="168" t="s">
        <v>108</v>
      </c>
    </row>
    <row r="253" spans="1:3" ht="16.350000000000001" customHeight="1">
      <c r="A253" s="173" t="s">
        <v>3359</v>
      </c>
      <c r="B253" s="168" t="s">
        <v>3356</v>
      </c>
      <c r="C253" s="168" t="s">
        <v>108</v>
      </c>
    </row>
    <row r="254" spans="1:3" ht="16.350000000000001" customHeight="1">
      <c r="A254" s="173" t="s">
        <v>3359</v>
      </c>
      <c r="B254" s="168" t="s">
        <v>3356</v>
      </c>
      <c r="C254" s="168" t="s">
        <v>108</v>
      </c>
    </row>
    <row r="255" spans="1:3" ht="16.350000000000001" customHeight="1">
      <c r="A255" s="173" t="s">
        <v>3360</v>
      </c>
      <c r="B255" s="168" t="s">
        <v>3357</v>
      </c>
      <c r="C255" s="168" t="s">
        <v>108</v>
      </c>
    </row>
    <row r="256" spans="1:3" ht="16.350000000000001" customHeight="1">
      <c r="A256" s="173" t="s">
        <v>3360</v>
      </c>
      <c r="B256" s="168" t="s">
        <v>3357</v>
      </c>
      <c r="C256" s="168" t="s">
        <v>108</v>
      </c>
    </row>
    <row r="257" spans="1:4" ht="16.350000000000001" customHeight="1">
      <c r="A257" s="173" t="s">
        <v>3360</v>
      </c>
      <c r="B257" s="168" t="s">
        <v>3357</v>
      </c>
      <c r="C257" s="168" t="s">
        <v>108</v>
      </c>
    </row>
    <row r="258" spans="1:4" ht="16.350000000000001" customHeight="1">
      <c r="A258" s="168" t="s">
        <v>2146</v>
      </c>
      <c r="B258" s="168" t="s">
        <v>2119</v>
      </c>
      <c r="C258" s="168" t="s">
        <v>109</v>
      </c>
      <c r="D258" s="168" t="s">
        <v>2210</v>
      </c>
    </row>
    <row r="259" spans="1:4" ht="16.350000000000001" customHeight="1">
      <c r="A259" s="168" t="s">
        <v>2146</v>
      </c>
      <c r="B259" s="168" t="s">
        <v>2119</v>
      </c>
      <c r="C259" s="168" t="s">
        <v>109</v>
      </c>
      <c r="D259" s="168" t="s">
        <v>2211</v>
      </c>
    </row>
    <row r="260" spans="1:4" ht="16.350000000000001" customHeight="1">
      <c r="A260" s="168" t="s">
        <v>2146</v>
      </c>
      <c r="B260" s="168" t="s">
        <v>2119</v>
      </c>
      <c r="C260" s="168" t="s">
        <v>109</v>
      </c>
    </row>
    <row r="261" spans="1:4" ht="16.350000000000001" customHeight="1">
      <c r="A261" s="168" t="s">
        <v>2146</v>
      </c>
      <c r="B261" s="168" t="s">
        <v>2119</v>
      </c>
      <c r="C261" s="168" t="s">
        <v>109</v>
      </c>
    </row>
    <row r="262" spans="1:4" ht="16.350000000000001" customHeight="1">
      <c r="A262" s="168" t="s">
        <v>3173</v>
      </c>
      <c r="B262" s="168" t="s">
        <v>2120</v>
      </c>
      <c r="C262" s="168" t="s">
        <v>109</v>
      </c>
    </row>
    <row r="263" spans="1:4" ht="16.350000000000001" customHeight="1">
      <c r="A263" s="168" t="s">
        <v>3173</v>
      </c>
      <c r="B263" s="168" t="s">
        <v>2120</v>
      </c>
      <c r="C263" s="168" t="s">
        <v>109</v>
      </c>
    </row>
    <row r="264" spans="1:4" ht="16.350000000000001" customHeight="1">
      <c r="A264" s="168" t="s">
        <v>3178</v>
      </c>
      <c r="B264" s="168" t="s">
        <v>2121</v>
      </c>
      <c r="C264" s="168" t="s">
        <v>109</v>
      </c>
    </row>
    <row r="265" spans="1:4" ht="16.350000000000001" customHeight="1">
      <c r="A265" s="168" t="s">
        <v>3178</v>
      </c>
      <c r="B265" s="168" t="s">
        <v>2121</v>
      </c>
      <c r="C265" s="168" t="s">
        <v>109</v>
      </c>
    </row>
    <row r="266" spans="1:4" ht="16.350000000000001" customHeight="1">
      <c r="A266" s="168" t="s">
        <v>2147</v>
      </c>
      <c r="B266" s="168" t="s">
        <v>2122</v>
      </c>
      <c r="C266" s="168" t="s">
        <v>109</v>
      </c>
    </row>
    <row r="267" spans="1:4" ht="16.350000000000001" customHeight="1">
      <c r="A267" s="168" t="s">
        <v>2147</v>
      </c>
      <c r="B267" s="168" t="s">
        <v>2122</v>
      </c>
      <c r="C267" s="168" t="s">
        <v>109</v>
      </c>
    </row>
    <row r="268" spans="1:4" ht="16.350000000000001" customHeight="1">
      <c r="A268" s="168" t="s">
        <v>2147</v>
      </c>
      <c r="B268" s="168" t="s">
        <v>2122</v>
      </c>
      <c r="C268" s="168" t="s">
        <v>109</v>
      </c>
    </row>
    <row r="269" spans="1:4" ht="16.350000000000001" customHeight="1">
      <c r="A269" s="168" t="s">
        <v>2147</v>
      </c>
      <c r="B269" s="168" t="s">
        <v>2122</v>
      </c>
      <c r="C269" s="168" t="s">
        <v>109</v>
      </c>
    </row>
    <row r="270" spans="1:4" ht="16.350000000000001" customHeight="1">
      <c r="A270" s="168" t="s">
        <v>3174</v>
      </c>
      <c r="B270" s="168" t="s">
        <v>2123</v>
      </c>
      <c r="C270" s="168" t="s">
        <v>109</v>
      </c>
    </row>
    <row r="271" spans="1:4" ht="16.350000000000001" customHeight="1">
      <c r="A271" s="168" t="s">
        <v>3174</v>
      </c>
      <c r="B271" s="168" t="s">
        <v>2123</v>
      </c>
      <c r="C271" s="168" t="s">
        <v>109</v>
      </c>
    </row>
    <row r="272" spans="1:4" ht="16.350000000000001" customHeight="1">
      <c r="A272" s="168" t="s">
        <v>3174</v>
      </c>
      <c r="B272" s="168" t="s">
        <v>2123</v>
      </c>
      <c r="C272" s="168" t="s">
        <v>109</v>
      </c>
    </row>
    <row r="273" spans="1:3" ht="16.350000000000001" customHeight="1">
      <c r="A273" s="168" t="s">
        <v>3179</v>
      </c>
      <c r="B273" s="168" t="s">
        <v>2124</v>
      </c>
      <c r="C273" s="168" t="s">
        <v>109</v>
      </c>
    </row>
    <row r="274" spans="1:3" ht="16.350000000000001" customHeight="1">
      <c r="A274" s="168" t="s">
        <v>3179</v>
      </c>
      <c r="B274" s="168" t="s">
        <v>2124</v>
      </c>
      <c r="C274" s="168" t="s">
        <v>109</v>
      </c>
    </row>
    <row r="275" spans="1:3" ht="16.350000000000001" customHeight="1">
      <c r="A275" s="168" t="s">
        <v>3179</v>
      </c>
      <c r="B275" s="168" t="s">
        <v>2124</v>
      </c>
      <c r="C275" s="168" t="s">
        <v>109</v>
      </c>
    </row>
    <row r="276" spans="1:3" ht="16.350000000000001" customHeight="1">
      <c r="A276" s="168" t="s">
        <v>2148</v>
      </c>
      <c r="B276" s="168" t="s">
        <v>2125</v>
      </c>
      <c r="C276" s="168" t="s">
        <v>109</v>
      </c>
    </row>
    <row r="277" spans="1:3" ht="16.350000000000001" customHeight="1">
      <c r="A277" s="168" t="s">
        <v>3361</v>
      </c>
      <c r="B277" s="168" t="s">
        <v>3354</v>
      </c>
      <c r="C277" s="168" t="s">
        <v>109</v>
      </c>
    </row>
    <row r="278" spans="1:3" ht="16.350000000000001" customHeight="1">
      <c r="A278" s="168" t="s">
        <v>3361</v>
      </c>
      <c r="B278" s="168" t="s">
        <v>3354</v>
      </c>
      <c r="C278" s="168" t="s">
        <v>109</v>
      </c>
    </row>
    <row r="279" spans="1:3" ht="16.350000000000001" customHeight="1">
      <c r="A279" s="168" t="s">
        <v>2149</v>
      </c>
      <c r="B279" s="168" t="s">
        <v>2127</v>
      </c>
      <c r="C279" s="168" t="s">
        <v>109</v>
      </c>
    </row>
    <row r="280" spans="1:3" ht="16.350000000000001" customHeight="1">
      <c r="A280" s="168" t="s">
        <v>2149</v>
      </c>
      <c r="B280" s="168" t="s">
        <v>2127</v>
      </c>
      <c r="C280" s="168" t="s">
        <v>109</v>
      </c>
    </row>
    <row r="281" spans="1:3" ht="16.350000000000001" customHeight="1">
      <c r="A281" s="168" t="s">
        <v>2149</v>
      </c>
      <c r="B281" s="168" t="s">
        <v>2127</v>
      </c>
      <c r="C281" s="168" t="s">
        <v>109</v>
      </c>
    </row>
    <row r="282" spans="1:3" ht="16.350000000000001" customHeight="1">
      <c r="A282" s="168" t="s">
        <v>2149</v>
      </c>
      <c r="B282" s="168" t="s">
        <v>2127</v>
      </c>
      <c r="C282" s="168" t="s">
        <v>109</v>
      </c>
    </row>
    <row r="283" spans="1:3" ht="16.350000000000001" customHeight="1">
      <c r="A283" s="168" t="s">
        <v>3175</v>
      </c>
      <c r="B283" s="168" t="s">
        <v>2128</v>
      </c>
      <c r="C283" s="168" t="s">
        <v>109</v>
      </c>
    </row>
    <row r="284" spans="1:3" ht="16.350000000000001" customHeight="1">
      <c r="A284" s="168" t="s">
        <v>3175</v>
      </c>
      <c r="B284" s="168" t="s">
        <v>2128</v>
      </c>
      <c r="C284" s="168" t="s">
        <v>109</v>
      </c>
    </row>
    <row r="285" spans="1:3" ht="16.350000000000001" customHeight="1">
      <c r="A285" s="168" t="s">
        <v>3175</v>
      </c>
      <c r="B285" s="168" t="s">
        <v>2128</v>
      </c>
      <c r="C285" s="168" t="s">
        <v>109</v>
      </c>
    </row>
    <row r="286" spans="1:3" ht="16.350000000000001" customHeight="1">
      <c r="A286" s="168" t="s">
        <v>3175</v>
      </c>
      <c r="B286" s="168" t="s">
        <v>2128</v>
      </c>
      <c r="C286" s="168" t="s">
        <v>109</v>
      </c>
    </row>
    <row r="287" spans="1:3" ht="16.350000000000001" customHeight="1">
      <c r="A287" s="168" t="s">
        <v>3180</v>
      </c>
      <c r="B287" s="168" t="s">
        <v>2129</v>
      </c>
      <c r="C287" s="168" t="s">
        <v>109</v>
      </c>
    </row>
    <row r="288" spans="1:3" ht="16.350000000000001" customHeight="1">
      <c r="A288" s="168" t="s">
        <v>3180</v>
      </c>
      <c r="B288" s="168" t="s">
        <v>2129</v>
      </c>
      <c r="C288" s="168" t="s">
        <v>109</v>
      </c>
    </row>
    <row r="289" spans="1:3" ht="16.350000000000001" customHeight="1">
      <c r="A289" s="168" t="s">
        <v>3180</v>
      </c>
      <c r="B289" s="168" t="s">
        <v>2129</v>
      </c>
      <c r="C289" s="168" t="s">
        <v>109</v>
      </c>
    </row>
    <row r="290" spans="1:3" ht="16.350000000000001" customHeight="1">
      <c r="A290" s="168" t="s">
        <v>3180</v>
      </c>
      <c r="B290" s="168" t="s">
        <v>2129</v>
      </c>
      <c r="C290" s="168" t="s">
        <v>109</v>
      </c>
    </row>
    <row r="291" spans="1:3" ht="16.350000000000001" customHeight="1">
      <c r="A291" s="168" t="s">
        <v>2150</v>
      </c>
      <c r="B291" s="168" t="s">
        <v>2130</v>
      </c>
      <c r="C291" s="168" t="s">
        <v>109</v>
      </c>
    </row>
    <row r="292" spans="1:3" ht="16.350000000000001" customHeight="1">
      <c r="A292" s="168" t="s">
        <v>2150</v>
      </c>
      <c r="B292" s="168" t="s">
        <v>2130</v>
      </c>
      <c r="C292" s="168" t="s">
        <v>109</v>
      </c>
    </row>
    <row r="293" spans="1:3" ht="16.350000000000001" customHeight="1">
      <c r="A293" s="168" t="s">
        <v>2150</v>
      </c>
      <c r="B293" s="168" t="s">
        <v>2130</v>
      </c>
      <c r="C293" s="168" t="s">
        <v>109</v>
      </c>
    </row>
    <row r="294" spans="1:3" ht="16.350000000000001" customHeight="1">
      <c r="A294" s="168" t="s">
        <v>2150</v>
      </c>
      <c r="B294" s="168" t="s">
        <v>2130</v>
      </c>
      <c r="C294" s="168" t="s">
        <v>109</v>
      </c>
    </row>
    <row r="295" spans="1:3" ht="16.350000000000001" customHeight="1">
      <c r="A295" s="168" t="s">
        <v>2150</v>
      </c>
      <c r="B295" s="168" t="s">
        <v>2130</v>
      </c>
      <c r="C295" s="168" t="s">
        <v>109</v>
      </c>
    </row>
    <row r="296" spans="1:3" ht="16.350000000000001" customHeight="1">
      <c r="A296" s="168" t="s">
        <v>3176</v>
      </c>
      <c r="B296" s="168" t="s">
        <v>2131</v>
      </c>
      <c r="C296" s="168" t="s">
        <v>109</v>
      </c>
    </row>
    <row r="297" spans="1:3" ht="16.350000000000001" customHeight="1">
      <c r="A297" s="168" t="s">
        <v>3176</v>
      </c>
      <c r="B297" s="168" t="s">
        <v>2131</v>
      </c>
      <c r="C297" s="168" t="s">
        <v>109</v>
      </c>
    </row>
    <row r="298" spans="1:3" ht="16.350000000000001" customHeight="1">
      <c r="A298" s="168" t="s">
        <v>3176</v>
      </c>
      <c r="B298" s="168" t="s">
        <v>2131</v>
      </c>
      <c r="C298" s="168" t="s">
        <v>109</v>
      </c>
    </row>
    <row r="299" spans="1:3" ht="16.350000000000001" customHeight="1">
      <c r="A299" s="168" t="s">
        <v>3176</v>
      </c>
      <c r="B299" s="168" t="s">
        <v>2131</v>
      </c>
      <c r="C299" s="168" t="s">
        <v>109</v>
      </c>
    </row>
    <row r="300" spans="1:3" ht="16.350000000000001" customHeight="1">
      <c r="A300" s="168" t="s">
        <v>3176</v>
      </c>
      <c r="B300" s="168" t="s">
        <v>2131</v>
      </c>
      <c r="C300" s="168" t="s">
        <v>109</v>
      </c>
    </row>
    <row r="301" spans="1:3" ht="16.350000000000001" customHeight="1">
      <c r="A301" s="168" t="s">
        <v>3181</v>
      </c>
      <c r="B301" s="168" t="s">
        <v>2132</v>
      </c>
      <c r="C301" s="168" t="s">
        <v>109</v>
      </c>
    </row>
    <row r="302" spans="1:3" ht="16.350000000000001" customHeight="1">
      <c r="A302" s="168" t="s">
        <v>3181</v>
      </c>
      <c r="B302" s="168" t="s">
        <v>2132</v>
      </c>
      <c r="C302" s="168" t="s">
        <v>109</v>
      </c>
    </row>
    <row r="303" spans="1:3" ht="16.350000000000001" customHeight="1">
      <c r="A303" s="168" t="s">
        <v>3181</v>
      </c>
      <c r="B303" s="168" t="s">
        <v>2132</v>
      </c>
      <c r="C303" s="168" t="s">
        <v>109</v>
      </c>
    </row>
    <row r="304" spans="1:3" ht="16.350000000000001" customHeight="1">
      <c r="A304" s="168" t="s">
        <v>3181</v>
      </c>
      <c r="B304" s="168" t="s">
        <v>2132</v>
      </c>
      <c r="C304" s="168" t="s">
        <v>109</v>
      </c>
    </row>
    <row r="305" spans="1:3" ht="16.350000000000001" customHeight="1">
      <c r="A305" s="168" t="s">
        <v>3181</v>
      </c>
      <c r="B305" s="168" t="s">
        <v>2132</v>
      </c>
      <c r="C305" s="168" t="s">
        <v>109</v>
      </c>
    </row>
    <row r="306" spans="1:3" ht="16.350000000000001" customHeight="1">
      <c r="A306" s="168" t="s">
        <v>2151</v>
      </c>
      <c r="B306" s="168" t="s">
        <v>2133</v>
      </c>
      <c r="C306" s="168" t="s">
        <v>109</v>
      </c>
    </row>
    <row r="307" spans="1:3" ht="16.350000000000001" customHeight="1">
      <c r="A307" s="168" t="s">
        <v>2151</v>
      </c>
      <c r="B307" s="168" t="s">
        <v>2133</v>
      </c>
      <c r="C307" s="168" t="s">
        <v>109</v>
      </c>
    </row>
    <row r="308" spans="1:3" ht="16.350000000000001" customHeight="1">
      <c r="A308" s="168" t="s">
        <v>3177</v>
      </c>
      <c r="B308" s="168" t="s">
        <v>2134</v>
      </c>
      <c r="C308" s="168" t="s">
        <v>109</v>
      </c>
    </row>
    <row r="309" spans="1:3" ht="16.350000000000001" customHeight="1">
      <c r="A309" s="168" t="s">
        <v>3177</v>
      </c>
      <c r="B309" s="168" t="s">
        <v>2134</v>
      </c>
      <c r="C309" s="168" t="s">
        <v>109</v>
      </c>
    </row>
    <row r="310" spans="1:3" ht="16.350000000000001" customHeight="1">
      <c r="A310" s="168" t="s">
        <v>3182</v>
      </c>
      <c r="B310" s="168" t="s">
        <v>2135</v>
      </c>
      <c r="C310" s="168" t="s">
        <v>109</v>
      </c>
    </row>
    <row r="311" spans="1:3" ht="16.350000000000001" customHeight="1">
      <c r="A311" s="168" t="s">
        <v>3182</v>
      </c>
      <c r="B311" s="168" t="s">
        <v>2135</v>
      </c>
      <c r="C311" s="168" t="s">
        <v>109</v>
      </c>
    </row>
    <row r="312" spans="1:3" ht="16.350000000000001" customHeight="1">
      <c r="A312" s="168" t="s">
        <v>3362</v>
      </c>
      <c r="B312" s="168" t="s">
        <v>3355</v>
      </c>
      <c r="C312" s="168" t="s">
        <v>109</v>
      </c>
    </row>
    <row r="313" spans="1:3" ht="16.350000000000001" customHeight="1">
      <c r="A313" s="168" t="s">
        <v>3362</v>
      </c>
      <c r="B313" s="168" t="s">
        <v>3355</v>
      </c>
      <c r="C313" s="168" t="s">
        <v>109</v>
      </c>
    </row>
    <row r="314" spans="1:3" ht="16.350000000000001" customHeight="1">
      <c r="A314" s="168" t="s">
        <v>3362</v>
      </c>
      <c r="B314" s="168" t="s">
        <v>3355</v>
      </c>
      <c r="C314" s="168" t="s">
        <v>109</v>
      </c>
    </row>
    <row r="315" spans="1:3" ht="16.350000000000001" customHeight="1">
      <c r="A315" s="168" t="s">
        <v>3363</v>
      </c>
      <c r="B315" s="168" t="s">
        <v>3356</v>
      </c>
      <c r="C315" s="168" t="s">
        <v>109</v>
      </c>
    </row>
    <row r="316" spans="1:3" ht="16.350000000000001" customHeight="1">
      <c r="A316" s="168" t="s">
        <v>3363</v>
      </c>
      <c r="B316" s="168" t="s">
        <v>3356</v>
      </c>
      <c r="C316" s="168" t="s">
        <v>109</v>
      </c>
    </row>
    <row r="317" spans="1:3" ht="16.350000000000001" customHeight="1">
      <c r="A317" s="168" t="s">
        <v>3363</v>
      </c>
      <c r="B317" s="168" t="s">
        <v>3356</v>
      </c>
      <c r="C317" s="168" t="s">
        <v>109</v>
      </c>
    </row>
    <row r="318" spans="1:3" ht="16.350000000000001" customHeight="1">
      <c r="A318" s="168" t="s">
        <v>3364</v>
      </c>
      <c r="B318" s="168" t="s">
        <v>3357</v>
      </c>
      <c r="C318" s="168" t="s">
        <v>109</v>
      </c>
    </row>
    <row r="319" spans="1:3" ht="16.350000000000001" customHeight="1">
      <c r="A319" s="168" t="s">
        <v>3364</v>
      </c>
      <c r="B319" s="168" t="s">
        <v>3357</v>
      </c>
      <c r="C319" s="168" t="s">
        <v>109</v>
      </c>
    </row>
    <row r="320" spans="1:3" ht="16.350000000000001" customHeight="1">
      <c r="A320" s="168" t="s">
        <v>3364</v>
      </c>
      <c r="B320" s="168" t="s">
        <v>3357</v>
      </c>
      <c r="C320" s="168" t="s">
        <v>109</v>
      </c>
    </row>
    <row r="321" spans="1:3" ht="16.350000000000001" customHeight="1">
      <c r="A321" s="168" t="s">
        <v>2547</v>
      </c>
      <c r="B321" s="168" t="s">
        <v>2119</v>
      </c>
      <c r="C321" s="168" t="s">
        <v>2546</v>
      </c>
    </row>
    <row r="322" spans="1:3" ht="16.350000000000001" customHeight="1">
      <c r="A322" s="168" t="s">
        <v>2547</v>
      </c>
      <c r="B322" s="168" t="s">
        <v>2119</v>
      </c>
      <c r="C322" s="168" t="s">
        <v>2546</v>
      </c>
    </row>
    <row r="323" spans="1:3" ht="16.350000000000001" customHeight="1">
      <c r="A323" s="168" t="s">
        <v>2547</v>
      </c>
      <c r="B323" s="168" t="s">
        <v>2119</v>
      </c>
      <c r="C323" s="168" t="s">
        <v>2546</v>
      </c>
    </row>
    <row r="324" spans="1:3" ht="16.350000000000001" customHeight="1">
      <c r="A324" s="168" t="s">
        <v>2547</v>
      </c>
      <c r="B324" s="168" t="s">
        <v>2119</v>
      </c>
      <c r="C324" s="168" t="s">
        <v>2546</v>
      </c>
    </row>
    <row r="325" spans="1:3" ht="16.350000000000001" customHeight="1">
      <c r="A325" s="168" t="s">
        <v>2553</v>
      </c>
      <c r="B325" s="168" t="s">
        <v>2120</v>
      </c>
      <c r="C325" s="168" t="s">
        <v>2546</v>
      </c>
    </row>
    <row r="326" spans="1:3" ht="16.350000000000001" customHeight="1">
      <c r="A326" s="168" t="s">
        <v>2553</v>
      </c>
      <c r="B326" s="168" t="s">
        <v>2120</v>
      </c>
      <c r="C326" s="168" t="s">
        <v>2546</v>
      </c>
    </row>
    <row r="327" spans="1:3" ht="16.350000000000001" customHeight="1">
      <c r="A327" s="168" t="s">
        <v>2558</v>
      </c>
      <c r="B327" s="168" t="s">
        <v>2121</v>
      </c>
      <c r="C327" s="168" t="s">
        <v>2546</v>
      </c>
    </row>
    <row r="328" spans="1:3" ht="16.350000000000001" customHeight="1">
      <c r="A328" s="168" t="s">
        <v>2558</v>
      </c>
      <c r="B328" s="168" t="s">
        <v>2121</v>
      </c>
      <c r="C328" s="168" t="s">
        <v>2546</v>
      </c>
    </row>
    <row r="329" spans="1:3" ht="16.350000000000001" customHeight="1">
      <c r="A329" s="168" t="s">
        <v>2548</v>
      </c>
      <c r="B329" s="168" t="s">
        <v>2122</v>
      </c>
      <c r="C329" s="168" t="s">
        <v>2546</v>
      </c>
    </row>
    <row r="330" spans="1:3" ht="16.350000000000001" customHeight="1">
      <c r="A330" s="168" t="s">
        <v>2548</v>
      </c>
      <c r="B330" s="168" t="s">
        <v>2122</v>
      </c>
      <c r="C330" s="168" t="s">
        <v>2546</v>
      </c>
    </row>
    <row r="331" spans="1:3" ht="16.350000000000001" customHeight="1">
      <c r="A331" s="168" t="s">
        <v>2548</v>
      </c>
      <c r="B331" s="168" t="s">
        <v>2122</v>
      </c>
      <c r="C331" s="168" t="s">
        <v>2546</v>
      </c>
    </row>
    <row r="332" spans="1:3" ht="16.350000000000001" customHeight="1">
      <c r="A332" s="168" t="s">
        <v>2548</v>
      </c>
      <c r="B332" s="168" t="s">
        <v>2122</v>
      </c>
      <c r="C332" s="168" t="s">
        <v>2546</v>
      </c>
    </row>
    <row r="333" spans="1:3" ht="16.350000000000001" customHeight="1">
      <c r="A333" s="168" t="s">
        <v>2554</v>
      </c>
      <c r="B333" s="168" t="s">
        <v>2123</v>
      </c>
      <c r="C333" s="168" t="s">
        <v>2546</v>
      </c>
    </row>
    <row r="334" spans="1:3" ht="16.350000000000001" customHeight="1">
      <c r="A334" s="168" t="s">
        <v>2554</v>
      </c>
      <c r="B334" s="168" t="s">
        <v>2123</v>
      </c>
      <c r="C334" s="168" t="s">
        <v>2546</v>
      </c>
    </row>
    <row r="335" spans="1:3" ht="16.350000000000001" customHeight="1">
      <c r="A335" s="168" t="s">
        <v>2554</v>
      </c>
      <c r="B335" s="168" t="s">
        <v>2123</v>
      </c>
      <c r="C335" s="168" t="s">
        <v>2546</v>
      </c>
    </row>
    <row r="336" spans="1:3" ht="16.350000000000001" customHeight="1">
      <c r="A336" s="168" t="s">
        <v>2559</v>
      </c>
      <c r="B336" s="168" t="s">
        <v>2124</v>
      </c>
      <c r="C336" s="168" t="s">
        <v>2546</v>
      </c>
    </row>
    <row r="337" spans="1:3" ht="16.350000000000001" customHeight="1">
      <c r="A337" s="168" t="s">
        <v>2559</v>
      </c>
      <c r="B337" s="168" t="s">
        <v>2124</v>
      </c>
      <c r="C337" s="168" t="s">
        <v>2546</v>
      </c>
    </row>
    <row r="338" spans="1:3" ht="16.350000000000001" customHeight="1">
      <c r="A338" s="168" t="s">
        <v>2559</v>
      </c>
      <c r="B338" s="168" t="s">
        <v>2124</v>
      </c>
      <c r="C338" s="168" t="s">
        <v>2546</v>
      </c>
    </row>
    <row r="339" spans="1:3" ht="16.350000000000001" customHeight="1">
      <c r="A339" s="168" t="s">
        <v>2549</v>
      </c>
      <c r="B339" s="168" t="s">
        <v>2125</v>
      </c>
      <c r="C339" s="168" t="s">
        <v>2546</v>
      </c>
    </row>
    <row r="340" spans="1:3" ht="16.350000000000001" customHeight="1">
      <c r="A340" s="168" t="s">
        <v>3365</v>
      </c>
      <c r="B340" s="168" t="s">
        <v>3354</v>
      </c>
      <c r="C340" s="168" t="s">
        <v>2546</v>
      </c>
    </row>
    <row r="341" spans="1:3" ht="16.350000000000001" customHeight="1">
      <c r="A341" s="168" t="s">
        <v>3365</v>
      </c>
      <c r="B341" s="168" t="s">
        <v>3354</v>
      </c>
      <c r="C341" s="168" t="s">
        <v>2546</v>
      </c>
    </row>
    <row r="342" spans="1:3" ht="16.350000000000001" customHeight="1">
      <c r="A342" s="168" t="s">
        <v>2550</v>
      </c>
      <c r="B342" s="168" t="s">
        <v>2127</v>
      </c>
      <c r="C342" s="168" t="s">
        <v>2546</v>
      </c>
    </row>
    <row r="343" spans="1:3" ht="16.350000000000001" customHeight="1">
      <c r="A343" s="168" t="s">
        <v>2550</v>
      </c>
      <c r="B343" s="168" t="s">
        <v>2127</v>
      </c>
      <c r="C343" s="168" t="s">
        <v>2546</v>
      </c>
    </row>
    <row r="344" spans="1:3" ht="16.350000000000001" customHeight="1">
      <c r="A344" s="168" t="s">
        <v>2550</v>
      </c>
      <c r="B344" s="168" t="s">
        <v>2127</v>
      </c>
      <c r="C344" s="168" t="s">
        <v>2546</v>
      </c>
    </row>
    <row r="345" spans="1:3" ht="16.350000000000001" customHeight="1">
      <c r="A345" s="168" t="s">
        <v>2550</v>
      </c>
      <c r="B345" s="168" t="s">
        <v>2127</v>
      </c>
      <c r="C345" s="168" t="s">
        <v>2546</v>
      </c>
    </row>
    <row r="346" spans="1:3" ht="16.350000000000001" customHeight="1">
      <c r="A346" s="168" t="s">
        <v>2555</v>
      </c>
      <c r="B346" s="168" t="s">
        <v>2128</v>
      </c>
      <c r="C346" s="168" t="s">
        <v>2546</v>
      </c>
    </row>
    <row r="347" spans="1:3" ht="16.350000000000001" customHeight="1">
      <c r="A347" s="168" t="s">
        <v>2555</v>
      </c>
      <c r="B347" s="168" t="s">
        <v>2128</v>
      </c>
      <c r="C347" s="168" t="s">
        <v>2546</v>
      </c>
    </row>
    <row r="348" spans="1:3" ht="16.350000000000001" customHeight="1">
      <c r="A348" s="168" t="s">
        <v>2555</v>
      </c>
      <c r="B348" s="168" t="s">
        <v>2128</v>
      </c>
      <c r="C348" s="168" t="s">
        <v>2546</v>
      </c>
    </row>
    <row r="349" spans="1:3" ht="16.350000000000001" customHeight="1">
      <c r="A349" s="168" t="s">
        <v>2555</v>
      </c>
      <c r="B349" s="168" t="s">
        <v>2128</v>
      </c>
      <c r="C349" s="168" t="s">
        <v>2546</v>
      </c>
    </row>
    <row r="350" spans="1:3" ht="16.350000000000001" customHeight="1">
      <c r="A350" s="168" t="s">
        <v>2560</v>
      </c>
      <c r="B350" s="168" t="s">
        <v>2129</v>
      </c>
      <c r="C350" s="168" t="s">
        <v>2546</v>
      </c>
    </row>
    <row r="351" spans="1:3" ht="16.350000000000001" customHeight="1">
      <c r="A351" s="168" t="s">
        <v>2560</v>
      </c>
      <c r="B351" s="168" t="s">
        <v>2129</v>
      </c>
      <c r="C351" s="168" t="s">
        <v>2546</v>
      </c>
    </row>
    <row r="352" spans="1:3" ht="16.350000000000001" customHeight="1">
      <c r="A352" s="168" t="s">
        <v>2560</v>
      </c>
      <c r="B352" s="168" t="s">
        <v>2129</v>
      </c>
      <c r="C352" s="168" t="s">
        <v>2546</v>
      </c>
    </row>
    <row r="353" spans="1:3" ht="16.350000000000001" customHeight="1">
      <c r="A353" s="168" t="s">
        <v>2560</v>
      </c>
      <c r="B353" s="168" t="s">
        <v>2129</v>
      </c>
      <c r="C353" s="168" t="s">
        <v>2546</v>
      </c>
    </row>
    <row r="354" spans="1:3" ht="16.350000000000001" customHeight="1">
      <c r="A354" s="168" t="s">
        <v>2551</v>
      </c>
      <c r="B354" s="168" t="s">
        <v>2130</v>
      </c>
      <c r="C354" s="168" t="s">
        <v>2546</v>
      </c>
    </row>
    <row r="355" spans="1:3" ht="16.350000000000001" customHeight="1">
      <c r="A355" s="168" t="s">
        <v>2551</v>
      </c>
      <c r="B355" s="168" t="s">
        <v>2130</v>
      </c>
      <c r="C355" s="168" t="s">
        <v>2546</v>
      </c>
    </row>
    <row r="356" spans="1:3" ht="16.350000000000001" customHeight="1">
      <c r="A356" s="168" t="s">
        <v>2551</v>
      </c>
      <c r="B356" s="168" t="s">
        <v>2130</v>
      </c>
      <c r="C356" s="168" t="s">
        <v>2546</v>
      </c>
    </row>
    <row r="357" spans="1:3" ht="16.350000000000001" customHeight="1">
      <c r="A357" s="168" t="s">
        <v>2551</v>
      </c>
      <c r="B357" s="168" t="s">
        <v>2130</v>
      </c>
      <c r="C357" s="168" t="s">
        <v>2546</v>
      </c>
    </row>
    <row r="358" spans="1:3" ht="16.350000000000001" customHeight="1">
      <c r="A358" s="168" t="s">
        <v>2551</v>
      </c>
      <c r="B358" s="168" t="s">
        <v>2130</v>
      </c>
      <c r="C358" s="168" t="s">
        <v>2546</v>
      </c>
    </row>
    <row r="359" spans="1:3" ht="16.350000000000001" customHeight="1">
      <c r="A359" s="168" t="s">
        <v>2556</v>
      </c>
      <c r="B359" s="168" t="s">
        <v>2131</v>
      </c>
      <c r="C359" s="168" t="s">
        <v>2546</v>
      </c>
    </row>
    <row r="360" spans="1:3" ht="16.350000000000001" customHeight="1">
      <c r="A360" s="168" t="s">
        <v>2556</v>
      </c>
      <c r="B360" s="168" t="s">
        <v>2131</v>
      </c>
      <c r="C360" s="168" t="s">
        <v>2546</v>
      </c>
    </row>
    <row r="361" spans="1:3" ht="16.350000000000001" customHeight="1">
      <c r="A361" s="168" t="s">
        <v>2556</v>
      </c>
      <c r="B361" s="168" t="s">
        <v>2131</v>
      </c>
      <c r="C361" s="168" t="s">
        <v>2546</v>
      </c>
    </row>
    <row r="362" spans="1:3" ht="16.350000000000001" customHeight="1">
      <c r="A362" s="168" t="s">
        <v>2556</v>
      </c>
      <c r="B362" s="168" t="s">
        <v>2131</v>
      </c>
      <c r="C362" s="168" t="s">
        <v>2546</v>
      </c>
    </row>
    <row r="363" spans="1:3" ht="16.350000000000001" customHeight="1">
      <c r="A363" s="168" t="s">
        <v>2556</v>
      </c>
      <c r="B363" s="168" t="s">
        <v>2131</v>
      </c>
      <c r="C363" s="168" t="s">
        <v>2546</v>
      </c>
    </row>
    <row r="364" spans="1:3" ht="16.350000000000001" customHeight="1">
      <c r="A364" s="168" t="s">
        <v>2561</v>
      </c>
      <c r="B364" s="168" t="s">
        <v>2132</v>
      </c>
      <c r="C364" s="168" t="s">
        <v>2546</v>
      </c>
    </row>
    <row r="365" spans="1:3" ht="16.350000000000001" customHeight="1">
      <c r="A365" s="168" t="s">
        <v>2561</v>
      </c>
      <c r="B365" s="168" t="s">
        <v>2132</v>
      </c>
      <c r="C365" s="168" t="s">
        <v>2546</v>
      </c>
    </row>
    <row r="366" spans="1:3" ht="16.350000000000001" customHeight="1">
      <c r="A366" s="168" t="s">
        <v>2561</v>
      </c>
      <c r="B366" s="168" t="s">
        <v>2132</v>
      </c>
      <c r="C366" s="168" t="s">
        <v>2546</v>
      </c>
    </row>
    <row r="367" spans="1:3" ht="16.350000000000001" customHeight="1">
      <c r="A367" s="168" t="s">
        <v>2561</v>
      </c>
      <c r="B367" s="168" t="s">
        <v>2132</v>
      </c>
      <c r="C367" s="168" t="s">
        <v>2546</v>
      </c>
    </row>
    <row r="368" spans="1:3" ht="16.350000000000001" customHeight="1">
      <c r="A368" s="168" t="s">
        <v>2561</v>
      </c>
      <c r="B368" s="168" t="s">
        <v>2132</v>
      </c>
      <c r="C368" s="168" t="s">
        <v>2546</v>
      </c>
    </row>
    <row r="369" spans="1:3" ht="16.350000000000001" customHeight="1">
      <c r="A369" s="168" t="s">
        <v>2552</v>
      </c>
      <c r="B369" s="168" t="s">
        <v>2133</v>
      </c>
      <c r="C369" s="168" t="s">
        <v>2546</v>
      </c>
    </row>
    <row r="370" spans="1:3" ht="16.350000000000001" customHeight="1">
      <c r="A370" s="168" t="s">
        <v>2552</v>
      </c>
      <c r="B370" s="168" t="s">
        <v>2133</v>
      </c>
      <c r="C370" s="168" t="s">
        <v>2546</v>
      </c>
    </row>
    <row r="371" spans="1:3" ht="16.350000000000001" customHeight="1">
      <c r="A371" s="168" t="s">
        <v>2557</v>
      </c>
      <c r="B371" s="168" t="s">
        <v>2134</v>
      </c>
      <c r="C371" s="168" t="s">
        <v>2546</v>
      </c>
    </row>
    <row r="372" spans="1:3" ht="16.350000000000001" customHeight="1">
      <c r="A372" s="168" t="s">
        <v>2557</v>
      </c>
      <c r="B372" s="168" t="s">
        <v>2134</v>
      </c>
      <c r="C372" s="168" t="s">
        <v>2546</v>
      </c>
    </row>
    <row r="373" spans="1:3" ht="16.350000000000001" customHeight="1">
      <c r="A373" s="168" t="s">
        <v>2562</v>
      </c>
      <c r="B373" s="168" t="s">
        <v>2135</v>
      </c>
      <c r="C373" s="168" t="s">
        <v>2546</v>
      </c>
    </row>
    <row r="374" spans="1:3" ht="16.350000000000001" customHeight="1">
      <c r="A374" s="168" t="s">
        <v>2562</v>
      </c>
      <c r="B374" s="168" t="s">
        <v>2135</v>
      </c>
      <c r="C374" s="168" t="s">
        <v>2546</v>
      </c>
    </row>
    <row r="375" spans="1:3" ht="16.350000000000001" customHeight="1">
      <c r="A375" s="168" t="s">
        <v>3366</v>
      </c>
      <c r="B375" s="168" t="s">
        <v>3355</v>
      </c>
      <c r="C375" s="168" t="s">
        <v>2546</v>
      </c>
    </row>
    <row r="376" spans="1:3" ht="16.350000000000001" customHeight="1">
      <c r="A376" s="168" t="s">
        <v>3366</v>
      </c>
      <c r="B376" s="168" t="s">
        <v>3355</v>
      </c>
      <c r="C376" s="168" t="s">
        <v>2546</v>
      </c>
    </row>
    <row r="377" spans="1:3" ht="16.350000000000001" customHeight="1">
      <c r="A377" s="168" t="s">
        <v>3366</v>
      </c>
      <c r="B377" s="168" t="s">
        <v>3355</v>
      </c>
      <c r="C377" s="168" t="s">
        <v>2546</v>
      </c>
    </row>
    <row r="378" spans="1:3" ht="16.350000000000001" customHeight="1">
      <c r="A378" s="168" t="s">
        <v>3367</v>
      </c>
      <c r="B378" s="168" t="s">
        <v>3356</v>
      </c>
      <c r="C378" s="168" t="s">
        <v>2546</v>
      </c>
    </row>
    <row r="379" spans="1:3" ht="16.350000000000001" customHeight="1">
      <c r="A379" s="168" t="s">
        <v>3367</v>
      </c>
      <c r="B379" s="168" t="s">
        <v>3356</v>
      </c>
      <c r="C379" s="168" t="s">
        <v>2546</v>
      </c>
    </row>
    <row r="380" spans="1:3" ht="16.350000000000001" customHeight="1">
      <c r="A380" s="168" t="s">
        <v>3367</v>
      </c>
      <c r="B380" s="168" t="s">
        <v>3356</v>
      </c>
      <c r="C380" s="168" t="s">
        <v>2546</v>
      </c>
    </row>
    <row r="381" spans="1:3" ht="16.350000000000001" customHeight="1">
      <c r="A381" s="168" t="s">
        <v>3368</v>
      </c>
      <c r="B381" s="168" t="s">
        <v>3357</v>
      </c>
      <c r="C381" s="168" t="s">
        <v>2546</v>
      </c>
    </row>
    <row r="382" spans="1:3" ht="16.350000000000001" customHeight="1">
      <c r="A382" s="168" t="s">
        <v>3368</v>
      </c>
      <c r="B382" s="168" t="s">
        <v>3357</v>
      </c>
      <c r="C382" s="168" t="s">
        <v>2546</v>
      </c>
    </row>
    <row r="383" spans="1:3" ht="16.350000000000001" customHeight="1">
      <c r="A383" s="168" t="s">
        <v>3368</v>
      </c>
      <c r="B383" s="168" t="s">
        <v>3357</v>
      </c>
      <c r="C383" s="168" t="s">
        <v>2546</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46"/>
  <sheetViews>
    <sheetView topLeftCell="O231" zoomScale="110" zoomScaleNormal="110" workbookViewId="0">
      <selection activeCell="R248" sqref="R248"/>
    </sheetView>
  </sheetViews>
  <sheetFormatPr defaultColWidth="8.5703125" defaultRowHeight="15"/>
  <cols>
    <col min="1" max="1" width="16.42578125" style="286" customWidth="1"/>
    <col min="2" max="2" width="54.140625" style="286" customWidth="1"/>
    <col min="3" max="3" width="39.5703125" style="286" customWidth="1"/>
    <col min="4" max="4" width="9.5703125" style="286" bestFit="1" customWidth="1"/>
    <col min="5" max="5" width="9.42578125" style="286" bestFit="1" customWidth="1"/>
    <col min="6" max="6" width="11" style="286" customWidth="1"/>
    <col min="7" max="7" width="10.140625" style="286" customWidth="1"/>
    <col min="8" max="8" width="9.5703125" style="286" customWidth="1"/>
    <col min="9" max="9" width="10.5703125" style="286" customWidth="1"/>
    <col min="10" max="10" width="9.5703125" style="286" customWidth="1"/>
    <col min="11" max="11" width="10.42578125" style="286" customWidth="1"/>
    <col min="12" max="12" width="12" style="286" customWidth="1"/>
    <col min="13" max="13" width="51.7109375" style="286" customWidth="1"/>
    <col min="14" max="14" width="45.42578125" style="286" customWidth="1"/>
    <col min="15" max="15" width="54.28515625" style="286" customWidth="1"/>
    <col min="16" max="16" width="37.85546875" style="286" customWidth="1"/>
    <col min="17" max="17" width="23.28515625" style="286" customWidth="1"/>
    <col min="18" max="18" width="84" style="286" bestFit="1" customWidth="1"/>
    <col min="19" max="19" width="8.5703125" style="286"/>
    <col min="20" max="20" width="18.5703125" style="286" bestFit="1" customWidth="1"/>
    <col min="21" max="21" width="21.140625" style="286" customWidth="1"/>
    <col min="22" max="26" width="8.5703125" style="286"/>
    <col min="27" max="28" width="65.85546875" style="286" bestFit="1" customWidth="1"/>
    <col min="29" max="33" width="8.5703125" style="286"/>
    <col min="34" max="34" width="59.85546875" style="286" bestFit="1" customWidth="1"/>
    <col min="35" max="16384" width="8.5703125" style="286"/>
  </cols>
  <sheetData>
    <row r="1" spans="1:35">
      <c r="D1" s="286">
        <f>Hlavní!V39</f>
        <v>5</v>
      </c>
      <c r="M1" s="328"/>
      <c r="AA1" s="331" t="s">
        <v>4336</v>
      </c>
      <c r="AB1" s="331" t="s">
        <v>4133</v>
      </c>
      <c r="AH1" s="351" t="s">
        <v>675</v>
      </c>
      <c r="AI1" s="351" t="s">
        <v>677</v>
      </c>
    </row>
    <row r="2" spans="1:35">
      <c r="M2" s="328"/>
      <c r="AA2" s="331" t="s">
        <v>4337</v>
      </c>
      <c r="AB2" s="331" t="s">
        <v>4213</v>
      </c>
      <c r="AH2" s="351" t="s">
        <v>2095</v>
      </c>
      <c r="AI2" s="351" t="s">
        <v>2096</v>
      </c>
    </row>
    <row r="3" spans="1:35">
      <c r="B3" s="287"/>
      <c r="C3" s="287"/>
      <c r="D3" s="287"/>
      <c r="E3" s="287"/>
      <c r="F3" s="287"/>
      <c r="G3" s="321" t="s">
        <v>19</v>
      </c>
      <c r="H3" s="322">
        <v>25.05</v>
      </c>
      <c r="I3" s="321" t="s">
        <v>19</v>
      </c>
      <c r="J3" s="322">
        <v>6</v>
      </c>
      <c r="K3" s="321" t="s">
        <v>971</v>
      </c>
      <c r="L3" s="322">
        <v>6.2</v>
      </c>
      <c r="M3" s="328"/>
      <c r="AA3" s="331" t="s">
        <v>4338</v>
      </c>
      <c r="AB3" s="331" t="s">
        <v>4134</v>
      </c>
      <c r="AH3" s="351" t="s">
        <v>1921</v>
      </c>
      <c r="AI3" s="351" t="s">
        <v>2092</v>
      </c>
    </row>
    <row r="4" spans="1:35">
      <c r="B4" s="323" t="s">
        <v>20</v>
      </c>
      <c r="C4" s="586" t="s">
        <v>21</v>
      </c>
      <c r="D4" s="587"/>
      <c r="E4" s="586" t="s">
        <v>21</v>
      </c>
      <c r="F4" s="587"/>
      <c r="G4" s="586" t="s">
        <v>22</v>
      </c>
      <c r="H4" s="587"/>
      <c r="I4" s="586" t="s">
        <v>23</v>
      </c>
      <c r="J4" s="587"/>
      <c r="K4" s="586" t="s">
        <v>24</v>
      </c>
      <c r="L4" s="587"/>
      <c r="M4" s="328"/>
      <c r="AA4" s="331" t="s">
        <v>4483</v>
      </c>
      <c r="AB4" s="331" t="s">
        <v>4135</v>
      </c>
      <c r="AH4" s="351" t="s">
        <v>1866</v>
      </c>
      <c r="AI4" s="351" t="s">
        <v>2097</v>
      </c>
    </row>
    <row r="5" spans="1:35" ht="15.75" thickBot="1">
      <c r="B5" s="329" t="s">
        <v>25</v>
      </c>
      <c r="C5" s="324" t="s">
        <v>26</v>
      </c>
      <c r="D5" s="325" t="s">
        <v>27</v>
      </c>
      <c r="E5" s="324" t="s">
        <v>26</v>
      </c>
      <c r="F5" s="325" t="s">
        <v>27</v>
      </c>
      <c r="G5" s="324" t="s">
        <v>26</v>
      </c>
      <c r="H5" s="325" t="s">
        <v>27</v>
      </c>
      <c r="I5" s="324" t="s">
        <v>26</v>
      </c>
      <c r="J5" s="325" t="s">
        <v>27</v>
      </c>
      <c r="K5" s="324" t="s">
        <v>26</v>
      </c>
      <c r="L5" s="325" t="s">
        <v>27</v>
      </c>
      <c r="M5" s="328" t="s">
        <v>65</v>
      </c>
      <c r="N5" s="286" t="s">
        <v>66</v>
      </c>
      <c r="O5" s="286" t="s">
        <v>67</v>
      </c>
      <c r="P5" s="286" t="s">
        <v>68</v>
      </c>
      <c r="Q5" s="286" t="s">
        <v>2373</v>
      </c>
      <c r="R5" s="286" t="s">
        <v>4833</v>
      </c>
      <c r="S5" s="286" t="s">
        <v>4584</v>
      </c>
      <c r="U5" s="286" t="s">
        <v>4585</v>
      </c>
      <c r="V5" s="286" t="s">
        <v>4586</v>
      </c>
      <c r="AA5" s="331" t="s">
        <v>4339</v>
      </c>
      <c r="AB5" s="331" t="s">
        <v>4136</v>
      </c>
      <c r="AH5" s="351" t="s">
        <v>918</v>
      </c>
      <c r="AI5" s="351" t="s">
        <v>4244</v>
      </c>
    </row>
    <row r="6" spans="1:35">
      <c r="A6" s="576" t="s">
        <v>1868</v>
      </c>
      <c r="B6" s="330" t="str">
        <f>IF($D$1=1,M6,
IF($D$1=2,N6,
IF($D$1=3,O6,
IF($D$1=4,P6,
IF($D$1=5,Q6,
IF($D$1=6,R6,0))))))</f>
        <v>BRW (elox.) - maximum profile length 2500 mm</v>
      </c>
      <c r="C6" s="323">
        <f>IF($D$1=1,E6,IF(OR($D$1=2,$D$1=5,),G6,IF($D$1=3,I6,IF($D$1=4,K6,IF($D$1=6,G6*1.3,0)))))</f>
        <v>12.894191137724553</v>
      </c>
      <c r="D6" s="323">
        <f>IF($D$1=1,F6,IF(OR($D$1=2,$D$1=5),H6,IF($D$1=3,J6,IF($D$1=4,L6,IF($D$1=6,H6*1.3,0)))))</f>
        <v>7.3270562874251493</v>
      </c>
      <c r="E6" s="323">
        <v>373.07692800000001</v>
      </c>
      <c r="F6" s="323">
        <v>211.47318000000001</v>
      </c>
      <c r="G6" s="323">
        <v>12.894191137724553</v>
      </c>
      <c r="H6" s="323">
        <v>7.3270562874251493</v>
      </c>
      <c r="I6" s="323">
        <v>49.03416</v>
      </c>
      <c r="J6" s="323">
        <v>31.920480000000005</v>
      </c>
      <c r="K6" s="323">
        <v>4704.8562580645166</v>
      </c>
      <c r="L6" s="323">
        <v>2844.5266451612906</v>
      </c>
      <c r="M6" s="331" t="s">
        <v>4336</v>
      </c>
      <c r="N6" s="331" t="s">
        <v>4385</v>
      </c>
      <c r="O6" s="331" t="s">
        <v>4441</v>
      </c>
      <c r="P6" s="331" t="s">
        <v>4524</v>
      </c>
      <c r="Q6" s="362" t="s">
        <v>4080</v>
      </c>
      <c r="R6" s="487" t="s">
        <v>4834</v>
      </c>
      <c r="S6" s="286">
        <v>2500</v>
      </c>
      <c r="T6" s="286">
        <v>2500</v>
      </c>
      <c r="U6" s="429">
        <v>2700</v>
      </c>
      <c r="V6" s="429">
        <v>700</v>
      </c>
      <c r="AA6" s="332" t="s">
        <v>4340</v>
      </c>
      <c r="AB6" s="331" t="s">
        <v>4137</v>
      </c>
      <c r="AH6" s="351" t="s">
        <v>680</v>
      </c>
      <c r="AI6" s="351" t="s">
        <v>4245</v>
      </c>
    </row>
    <row r="7" spans="1:35">
      <c r="A7" s="577"/>
      <c r="B7" s="330" t="str">
        <f t="shared" ref="B7:B60" si="0">IF($D$1=1,M7,
IF($D$1=2,N7,
IF($D$1=3,O7,
IF($D$1=4,P7,
IF($D$1=5,Q7,
IF($D$1=6,R7,0))))))</f>
        <v>BRW anthracite RAL 7021 - maximum profile length 2500 mm</v>
      </c>
      <c r="C7" s="323">
        <f t="shared" ref="C7:C60" si="1">IF($D$1=1,E7,IF(OR($D$1=2,$D$1=5,),G7,IF($D$1=3,I7,IF($D$1=4,K7,IF($D$1=6,G7*1.3,0)))))</f>
        <v>23.181025994730536</v>
      </c>
      <c r="D7" s="323">
        <f t="shared" ref="D7:D60" si="2">IF($D$1=1,F7,IF(OR($D$1=2,$D$1=5),H7,IF($D$1=3,J7,IF($D$1=4,L7,IF($D$1=6,H7*1.3,0)))))</f>
        <v>7.3270562874251493</v>
      </c>
      <c r="E7" s="323">
        <v>670.71333700799994</v>
      </c>
      <c r="F7" s="323">
        <v>211.47318000000001</v>
      </c>
      <c r="G7" s="323">
        <v>23.181025994730536</v>
      </c>
      <c r="H7" s="323">
        <v>7.3270562874251493</v>
      </c>
      <c r="I7" s="323">
        <v>88.153039259999986</v>
      </c>
      <c r="J7" s="323">
        <v>31.920480000000005</v>
      </c>
      <c r="K7" s="323">
        <v>8458.3355446451606</v>
      </c>
      <c r="L7" s="323">
        <v>2844.5266451612906</v>
      </c>
      <c r="M7" s="331" t="s">
        <v>4337</v>
      </c>
      <c r="N7" s="331" t="s">
        <v>4386</v>
      </c>
      <c r="O7" s="331" t="s">
        <v>4442</v>
      </c>
      <c r="P7" s="331" t="s">
        <v>4525</v>
      </c>
      <c r="Q7" s="362" t="s">
        <v>4186</v>
      </c>
      <c r="R7" s="487" t="s">
        <v>4835</v>
      </c>
      <c r="S7" s="286">
        <v>2500</v>
      </c>
      <c r="T7" s="286">
        <v>2500</v>
      </c>
      <c r="U7" s="429">
        <v>2700</v>
      </c>
      <c r="V7" s="429">
        <v>700</v>
      </c>
      <c r="AA7" s="332" t="s">
        <v>4341</v>
      </c>
      <c r="AB7" s="331" t="s">
        <v>4138</v>
      </c>
      <c r="AH7" s="351" t="s">
        <v>4668</v>
      </c>
      <c r="AI7" s="351" t="s">
        <v>4246</v>
      </c>
    </row>
    <row r="8" spans="1:35">
      <c r="A8" s="577"/>
      <c r="B8" s="330" t="str">
        <f t="shared" si="0"/>
        <v>BRW white matt RAL 9003 - maximum profile length 2500 mm</v>
      </c>
      <c r="C8" s="323">
        <f t="shared" si="1"/>
        <v>20.775158135568866</v>
      </c>
      <c r="D8" s="323">
        <f t="shared" si="2"/>
        <v>7.3270562874251493</v>
      </c>
      <c r="E8" s="323">
        <v>601.10262777600008</v>
      </c>
      <c r="F8" s="323">
        <v>211.47318000000001</v>
      </c>
      <c r="G8" s="323">
        <v>20.775158135568866</v>
      </c>
      <c r="H8" s="323">
        <v>7.3270562874251493</v>
      </c>
      <c r="I8" s="323">
        <v>79.003980720000015</v>
      </c>
      <c r="J8" s="323">
        <v>31.920480000000005</v>
      </c>
      <c r="K8" s="323">
        <v>7580.4780402580664</v>
      </c>
      <c r="L8" s="323">
        <v>2844.5266451612906</v>
      </c>
      <c r="M8" s="331" t="s">
        <v>4338</v>
      </c>
      <c r="N8" s="331" t="s">
        <v>4387</v>
      </c>
      <c r="O8" s="331" t="s">
        <v>4443</v>
      </c>
      <c r="P8" s="331" t="s">
        <v>4526</v>
      </c>
      <c r="Q8" s="362" t="s">
        <v>4187</v>
      </c>
      <c r="R8" s="487" t="s">
        <v>4836</v>
      </c>
      <c r="S8" s="286">
        <v>2500</v>
      </c>
      <c r="T8" s="286">
        <v>2500</v>
      </c>
      <c r="U8" s="429">
        <v>2700</v>
      </c>
      <c r="V8" s="429">
        <v>700</v>
      </c>
      <c r="AA8" s="333" t="s">
        <v>4590</v>
      </c>
      <c r="AB8" s="332" t="s">
        <v>2571</v>
      </c>
      <c r="AH8" s="351" t="s">
        <v>4669</v>
      </c>
      <c r="AI8" s="351" t="s">
        <v>4247</v>
      </c>
    </row>
    <row r="9" spans="1:35">
      <c r="A9" s="577"/>
      <c r="B9" s="330" t="str">
        <f t="shared" si="0"/>
        <v>BRW white gloss RAL 9003 - maximum profile length 2500 mm</v>
      </c>
      <c r="C9" s="323">
        <f t="shared" si="1"/>
        <v>20.775158135568866</v>
      </c>
      <c r="D9" s="323">
        <f t="shared" si="2"/>
        <v>7.3270562874251493</v>
      </c>
      <c r="E9" s="323">
        <v>601.10262777600008</v>
      </c>
      <c r="F9" s="323">
        <v>211.47318000000001</v>
      </c>
      <c r="G9" s="323">
        <v>20.775158135568866</v>
      </c>
      <c r="H9" s="323">
        <v>7.3270562874251493</v>
      </c>
      <c r="I9" s="323">
        <v>79.003980720000015</v>
      </c>
      <c r="J9" s="323">
        <v>31.920480000000005</v>
      </c>
      <c r="K9" s="323">
        <v>7580.4780402580664</v>
      </c>
      <c r="L9" s="323">
        <v>2844.5266451612906</v>
      </c>
      <c r="M9" s="331" t="s">
        <v>4483</v>
      </c>
      <c r="N9" s="331" t="s">
        <v>4484</v>
      </c>
      <c r="O9" s="331" t="s">
        <v>4485</v>
      </c>
      <c r="P9" s="331" t="s">
        <v>4527</v>
      </c>
      <c r="Q9" s="362" t="s">
        <v>4486</v>
      </c>
      <c r="R9" s="487" t="s">
        <v>4837</v>
      </c>
      <c r="S9" s="286">
        <v>2500</v>
      </c>
      <c r="T9" s="286">
        <v>2500</v>
      </c>
      <c r="U9" s="429">
        <v>2700</v>
      </c>
      <c r="V9" s="429">
        <v>700</v>
      </c>
      <c r="AA9" s="332" t="s">
        <v>4342</v>
      </c>
      <c r="AB9" s="331" t="s">
        <v>4139</v>
      </c>
      <c r="AH9" s="351" t="s">
        <v>4670</v>
      </c>
      <c r="AI9" s="351" t="s">
        <v>4248</v>
      </c>
    </row>
    <row r="10" spans="1:35">
      <c r="A10" s="577"/>
      <c r="B10" s="330" t="str">
        <f t="shared" si="0"/>
        <v>BRW brown - maximum profile length 2500 mm</v>
      </c>
      <c r="C10" s="323">
        <f t="shared" si="1"/>
        <v>13.32466491017964</v>
      </c>
      <c r="D10" s="323">
        <f t="shared" si="2"/>
        <v>7.3270562874251493</v>
      </c>
      <c r="E10" s="323">
        <v>385.53213599999998</v>
      </c>
      <c r="F10" s="323">
        <v>211.47318000000001</v>
      </c>
      <c r="G10" s="323">
        <v>13.32466491017964</v>
      </c>
      <c r="H10" s="323">
        <v>7.3270562874251493</v>
      </c>
      <c r="I10" s="323">
        <v>50.671170000000004</v>
      </c>
      <c r="J10" s="323">
        <v>31.920480000000005</v>
      </c>
      <c r="K10" s="323">
        <v>4861.9283225806448</v>
      </c>
      <c r="L10" s="323">
        <v>2844.5266451612906</v>
      </c>
      <c r="M10" s="331" t="s">
        <v>4339</v>
      </c>
      <c r="N10" s="331" t="s">
        <v>4388</v>
      </c>
      <c r="O10" s="331" t="s">
        <v>4444</v>
      </c>
      <c r="P10" s="331" t="s">
        <v>4528</v>
      </c>
      <c r="Q10" s="362" t="s">
        <v>4660</v>
      </c>
      <c r="R10" s="487" t="s">
        <v>4838</v>
      </c>
      <c r="S10" s="286">
        <v>2500</v>
      </c>
      <c r="T10" s="286">
        <v>2500</v>
      </c>
      <c r="U10" s="429">
        <v>2700</v>
      </c>
      <c r="V10" s="429">
        <v>700</v>
      </c>
      <c r="AA10" s="332" t="s">
        <v>4343</v>
      </c>
      <c r="AB10" s="331" t="s">
        <v>4140</v>
      </c>
      <c r="AH10" s="351" t="s">
        <v>4741</v>
      </c>
      <c r="AI10" s="351" t="s">
        <v>4249</v>
      </c>
    </row>
    <row r="11" spans="1:35">
      <c r="A11" s="577"/>
      <c r="B11" s="330" t="str">
        <f t="shared" si="0"/>
        <v>BRW brushed - maximum profile length 2500 mm</v>
      </c>
      <c r="C11" s="323">
        <f t="shared" si="1"/>
        <v>18.701582658682636</v>
      </c>
      <c r="D11" s="323">
        <f t="shared" si="2"/>
        <v>7.3270562874251493</v>
      </c>
      <c r="E11" s="323">
        <v>541.10637359999998</v>
      </c>
      <c r="F11" s="323">
        <v>211.47318000000001</v>
      </c>
      <c r="G11" s="323">
        <v>18.701582658682636</v>
      </c>
      <c r="H11" s="323">
        <v>7.3270562874251493</v>
      </c>
      <c r="I11" s="323">
        <v>71.118566999999999</v>
      </c>
      <c r="J11" s="323">
        <v>31.920480000000005</v>
      </c>
      <c r="K11" s="323">
        <v>6823.8679935483869</v>
      </c>
      <c r="L11" s="323">
        <v>2844.5266451612906</v>
      </c>
      <c r="M11" s="332" t="s">
        <v>4340</v>
      </c>
      <c r="N11" s="332" t="s">
        <v>4389</v>
      </c>
      <c r="O11" s="331" t="s">
        <v>4445</v>
      </c>
      <c r="P11" s="332" t="s">
        <v>4529</v>
      </c>
      <c r="Q11" s="362" t="s">
        <v>4188</v>
      </c>
      <c r="R11" s="487" t="s">
        <v>4839</v>
      </c>
      <c r="S11" s="286">
        <v>2500</v>
      </c>
      <c r="T11" s="286">
        <v>2500</v>
      </c>
      <c r="U11" s="429">
        <v>2700</v>
      </c>
      <c r="V11" s="429">
        <v>700</v>
      </c>
      <c r="AA11" s="332" t="s">
        <v>4344</v>
      </c>
      <c r="AB11" s="331" t="s">
        <v>4141</v>
      </c>
      <c r="AH11" s="351" t="s">
        <v>1332</v>
      </c>
      <c r="AI11" s="351" t="s">
        <v>4250</v>
      </c>
    </row>
    <row r="12" spans="1:35">
      <c r="A12" s="577"/>
      <c r="B12" s="330" t="str">
        <f t="shared" si="0"/>
        <v>BRW black matt - maximum profile length 2500 mm</v>
      </c>
      <c r="C12" s="323">
        <f t="shared" si="1"/>
        <v>12.791678313772454</v>
      </c>
      <c r="D12" s="323">
        <f t="shared" si="2"/>
        <v>7.4118395209580834</v>
      </c>
      <c r="E12" s="323">
        <v>370.11085056000002</v>
      </c>
      <c r="F12" s="323">
        <v>213.92019000000002</v>
      </c>
      <c r="G12" s="323">
        <v>12.791678313772454</v>
      </c>
      <c r="H12" s="323">
        <v>7.4118395209580834</v>
      </c>
      <c r="I12" s="323">
        <v>48.644323200000002</v>
      </c>
      <c r="J12" s="323">
        <v>32.289839999999998</v>
      </c>
      <c r="K12" s="323">
        <v>4667.4511896774202</v>
      </c>
      <c r="L12" s="323">
        <v>2877.4413870967746</v>
      </c>
      <c r="M12" s="332" t="s">
        <v>4341</v>
      </c>
      <c r="N12" s="332" t="s">
        <v>4390</v>
      </c>
      <c r="O12" s="331" t="s">
        <v>4446</v>
      </c>
      <c r="P12" s="332" t="s">
        <v>4530</v>
      </c>
      <c r="Q12" s="362" t="s">
        <v>4189</v>
      </c>
      <c r="R12" s="487" t="s">
        <v>4840</v>
      </c>
      <c r="S12" s="286">
        <v>2500</v>
      </c>
      <c r="T12" s="286">
        <v>2500</v>
      </c>
      <c r="U12" s="429">
        <v>2700</v>
      </c>
      <c r="V12" s="429">
        <v>700</v>
      </c>
      <c r="AA12" s="332" t="s">
        <v>4487</v>
      </c>
      <c r="AB12" s="331" t="s">
        <v>956</v>
      </c>
      <c r="AH12" s="351" t="s">
        <v>1333</v>
      </c>
      <c r="AI12" s="351" t="s">
        <v>4251</v>
      </c>
    </row>
    <row r="13" spans="1:35">
      <c r="A13" s="577"/>
      <c r="B13" s="330" t="str">
        <f t="shared" si="0"/>
        <v>BRW gold - maximum profile length 2500 mm</v>
      </c>
      <c r="C13" s="323">
        <f t="shared" si="1"/>
        <v>25.984598227544911</v>
      </c>
      <c r="D13" s="323">
        <f t="shared" si="2"/>
        <v>7.3270562874251493</v>
      </c>
      <c r="E13" s="323">
        <v>751.83111360000009</v>
      </c>
      <c r="F13" s="323">
        <v>211.47318000000001</v>
      </c>
      <c r="G13" s="323">
        <v>25.984598227544911</v>
      </c>
      <c r="H13" s="323">
        <v>7.3270562874251493</v>
      </c>
      <c r="I13" s="323">
        <v>98.814492000000016</v>
      </c>
      <c r="J13" s="323">
        <v>31.920480000000005</v>
      </c>
      <c r="K13" s="323">
        <v>9481.3081548387108</v>
      </c>
      <c r="L13" s="323">
        <v>2844.5266451612906</v>
      </c>
      <c r="M13" s="333" t="s">
        <v>4590</v>
      </c>
      <c r="N13" s="333" t="s">
        <v>4591</v>
      </c>
      <c r="O13" s="332" t="s">
        <v>4592</v>
      </c>
      <c r="P13" s="332" t="s">
        <v>4593</v>
      </c>
      <c r="Q13" s="331" t="s">
        <v>4594</v>
      </c>
      <c r="R13" s="487" t="s">
        <v>4841</v>
      </c>
      <c r="S13" s="286">
        <v>2500</v>
      </c>
      <c r="T13" s="286">
        <v>2500</v>
      </c>
      <c r="U13" s="429">
        <v>2700</v>
      </c>
      <c r="V13" s="429">
        <v>700</v>
      </c>
      <c r="AA13" s="332" t="s">
        <v>4491</v>
      </c>
      <c r="AB13" s="331" t="s">
        <v>4142</v>
      </c>
      <c r="AH13" s="351" t="s">
        <v>681</v>
      </c>
      <c r="AI13" s="351" t="s">
        <v>4252</v>
      </c>
    </row>
    <row r="14" spans="1:35">
      <c r="A14" s="577"/>
      <c r="B14" s="330" t="str">
        <f t="shared" si="0"/>
        <v>BRW black brushed - maximum profile length 2500 mm</v>
      </c>
      <c r="C14" s="323">
        <f t="shared" si="1"/>
        <v>14.385832814371257</v>
      </c>
      <c r="D14" s="323">
        <f t="shared" si="2"/>
        <v>7.4118395209580834</v>
      </c>
      <c r="E14" s="323">
        <v>416.23567200000002</v>
      </c>
      <c r="F14" s="323">
        <v>213.92019000000002</v>
      </c>
      <c r="G14" s="323">
        <v>14.385832814371257</v>
      </c>
      <c r="H14" s="323">
        <v>7.4118395209580834</v>
      </c>
      <c r="I14" s="323">
        <v>54.706589999999998</v>
      </c>
      <c r="J14" s="323">
        <v>32.289839999999998</v>
      </c>
      <c r="K14" s="323">
        <v>5249.1292258064523</v>
      </c>
      <c r="L14" s="323">
        <v>2877.4413870967746</v>
      </c>
      <c r="M14" s="332" t="s">
        <v>4342</v>
      </c>
      <c r="N14" s="332" t="s">
        <v>4391</v>
      </c>
      <c r="O14" s="331" t="s">
        <v>4447</v>
      </c>
      <c r="P14" s="332" t="s">
        <v>4531</v>
      </c>
      <c r="Q14" s="362" t="s">
        <v>4190</v>
      </c>
      <c r="R14" s="487" t="s">
        <v>4842</v>
      </c>
      <c r="S14" s="286">
        <v>2500</v>
      </c>
      <c r="T14" s="286">
        <v>2500</v>
      </c>
      <c r="U14" s="429">
        <v>2700</v>
      </c>
      <c r="V14" s="429">
        <v>700</v>
      </c>
      <c r="AA14" s="332" t="s">
        <v>4495</v>
      </c>
      <c r="AB14" s="331" t="s">
        <v>4143</v>
      </c>
      <c r="AH14" s="351" t="s">
        <v>4708</v>
      </c>
      <c r="AI14" s="351" t="s">
        <v>4253</v>
      </c>
    </row>
    <row r="15" spans="1:35">
      <c r="A15" s="577"/>
      <c r="B15" s="330" t="str">
        <f t="shared" si="0"/>
        <v>BRW Light Stainless Steel (ACIER GRATA) - maximum profile length 2500 mm</v>
      </c>
      <c r="C15" s="323">
        <f t="shared" si="1"/>
        <v>18.072557029940121</v>
      </c>
      <c r="D15" s="323">
        <f t="shared" si="2"/>
        <v>7.3270562874251493</v>
      </c>
      <c r="E15" s="323">
        <v>522.90632160000007</v>
      </c>
      <c r="F15" s="323">
        <v>211.47318000000001</v>
      </c>
      <c r="G15" s="323">
        <v>18.072557029940121</v>
      </c>
      <c r="H15" s="323">
        <v>7.3270562874251493</v>
      </c>
      <c r="I15" s="323">
        <v>68.726501999999996</v>
      </c>
      <c r="J15" s="323">
        <v>31.920480000000005</v>
      </c>
      <c r="K15" s="323">
        <v>6594.3479612903238</v>
      </c>
      <c r="L15" s="323">
        <v>2844.5266451612906</v>
      </c>
      <c r="M15" s="332" t="s">
        <v>4343</v>
      </c>
      <c r="N15" s="332" t="s">
        <v>4392</v>
      </c>
      <c r="O15" s="331" t="s">
        <v>4448</v>
      </c>
      <c r="P15" s="332" t="s">
        <v>4532</v>
      </c>
      <c r="Q15" s="362" t="s">
        <v>4191</v>
      </c>
      <c r="R15" s="487" t="s">
        <v>4843</v>
      </c>
      <c r="S15" s="286">
        <v>2500</v>
      </c>
      <c r="T15" s="286">
        <v>2500</v>
      </c>
      <c r="U15" s="429">
        <v>2700</v>
      </c>
      <c r="V15" s="429">
        <v>700</v>
      </c>
      <c r="AA15" s="332" t="s">
        <v>4345</v>
      </c>
      <c r="AB15" s="331" t="s">
        <v>4144</v>
      </c>
      <c r="AH15" s="351" t="s">
        <v>691</v>
      </c>
      <c r="AI15" s="351" t="s">
        <v>4254</v>
      </c>
    </row>
    <row r="16" spans="1:35">
      <c r="A16" s="577"/>
      <c r="B16" s="330" t="str">
        <f t="shared" si="0"/>
        <v>BRW dark stainless steel - maximum profile length 2500 mm</v>
      </c>
      <c r="C16" s="323">
        <f t="shared" si="1"/>
        <v>15.507066826347303</v>
      </c>
      <c r="D16" s="323">
        <f t="shared" si="2"/>
        <v>7.3270562874251493</v>
      </c>
      <c r="E16" s="323">
        <v>448.67714399999994</v>
      </c>
      <c r="F16" s="323">
        <v>211.47318000000001</v>
      </c>
      <c r="G16" s="323">
        <v>15.507066826347303</v>
      </c>
      <c r="H16" s="323">
        <v>7.3270562874251493</v>
      </c>
      <c r="I16" s="323">
        <v>58.97043</v>
      </c>
      <c r="J16" s="323">
        <v>31.920480000000005</v>
      </c>
      <c r="K16" s="323">
        <v>5658.2471612903219</v>
      </c>
      <c r="L16" s="323">
        <v>2844.5266451612906</v>
      </c>
      <c r="M16" s="332" t="s">
        <v>4344</v>
      </c>
      <c r="N16" s="332" t="s">
        <v>4393</v>
      </c>
      <c r="O16" s="331" t="s">
        <v>4449</v>
      </c>
      <c r="P16" s="332" t="s">
        <v>4533</v>
      </c>
      <c r="Q16" s="362" t="s">
        <v>4192</v>
      </c>
      <c r="R16" s="487" t="s">
        <v>4844</v>
      </c>
      <c r="S16" s="286">
        <v>2500</v>
      </c>
      <c r="T16" s="286">
        <v>2500</v>
      </c>
      <c r="U16" s="429">
        <v>2700</v>
      </c>
      <c r="V16" s="429">
        <v>700</v>
      </c>
      <c r="AA16" s="331" t="s">
        <v>4346</v>
      </c>
      <c r="AB16" s="331" t="s">
        <v>4145</v>
      </c>
      <c r="AH16" s="351" t="s">
        <v>692</v>
      </c>
      <c r="AI16" s="351" t="s">
        <v>4255</v>
      </c>
    </row>
    <row r="17" spans="1:35">
      <c r="A17" s="577"/>
      <c r="B17" s="330" t="str">
        <f t="shared" si="0"/>
        <v>Corleone (elox.) - maximum profile length 1500 mm</v>
      </c>
      <c r="C17" s="323">
        <f t="shared" si="1"/>
        <v>15.623862035928143</v>
      </c>
      <c r="D17" s="323">
        <f t="shared" si="2"/>
        <v>9.1744383233532911</v>
      </c>
      <c r="E17" s="323">
        <v>452.05646400000001</v>
      </c>
      <c r="F17" s="323">
        <v>264.79223999999994</v>
      </c>
      <c r="G17" s="323">
        <v>15.623862035928143</v>
      </c>
      <c r="H17" s="323">
        <v>9.1744383233532911</v>
      </c>
      <c r="I17" s="323">
        <v>61.184376</v>
      </c>
      <c r="J17" s="323">
        <v>41.633999999999993</v>
      </c>
      <c r="K17" s="323">
        <v>5700.8636129032257</v>
      </c>
      <c r="L17" s="323">
        <v>3561.7215483870959</v>
      </c>
      <c r="M17" s="332" t="s">
        <v>4487</v>
      </c>
      <c r="N17" s="332" t="s">
        <v>4488</v>
      </c>
      <c r="O17" s="331" t="s">
        <v>4489</v>
      </c>
      <c r="P17" s="332" t="s">
        <v>4534</v>
      </c>
      <c r="Q17" s="362" t="s">
        <v>4490</v>
      </c>
      <c r="R17" s="487" t="s">
        <v>4845</v>
      </c>
      <c r="S17" s="286">
        <v>1500</v>
      </c>
      <c r="T17" s="286">
        <v>1500</v>
      </c>
      <c r="U17" s="429">
        <v>1500</v>
      </c>
      <c r="V17" s="429">
        <v>700</v>
      </c>
      <c r="AA17" s="332" t="s">
        <v>4347</v>
      </c>
      <c r="AB17" s="331" t="s">
        <v>4146</v>
      </c>
      <c r="AH17" s="351" t="s">
        <v>682</v>
      </c>
      <c r="AI17" s="351" t="s">
        <v>4256</v>
      </c>
    </row>
    <row r="18" spans="1:35">
      <c r="A18" s="577"/>
      <c r="B18" s="330" t="str">
        <f t="shared" si="0"/>
        <v>Corleone black matt - maximum profile length 1500 mm</v>
      </c>
      <c r="C18" s="323">
        <f t="shared" si="1"/>
        <v>23.418574102994015</v>
      </c>
      <c r="D18" s="323">
        <f t="shared" si="2"/>
        <v>9.2592215568862262</v>
      </c>
      <c r="E18" s="323">
        <v>677.58648768000012</v>
      </c>
      <c r="F18" s="323">
        <v>267.23924999999997</v>
      </c>
      <c r="G18" s="323">
        <v>23.418574102994015</v>
      </c>
      <c r="H18" s="323">
        <v>9.2592215568862262</v>
      </c>
      <c r="I18" s="323">
        <v>91.709133120000004</v>
      </c>
      <c r="J18" s="323">
        <v>42.018750000000004</v>
      </c>
      <c r="K18" s="323">
        <v>8545.0125367741948</v>
      </c>
      <c r="L18" s="323">
        <v>3594.6362903225804</v>
      </c>
      <c r="M18" s="332" t="s">
        <v>4491</v>
      </c>
      <c r="N18" s="332" t="s">
        <v>4492</v>
      </c>
      <c r="O18" s="331" t="s">
        <v>4493</v>
      </c>
      <c r="P18" s="332" t="s">
        <v>4535</v>
      </c>
      <c r="Q18" s="362" t="s">
        <v>4494</v>
      </c>
      <c r="R18" s="487" t="s">
        <v>4846</v>
      </c>
      <c r="S18" s="286">
        <v>1500</v>
      </c>
      <c r="T18" s="286">
        <v>1500</v>
      </c>
      <c r="U18" s="429">
        <v>1500</v>
      </c>
      <c r="V18" s="429">
        <v>700</v>
      </c>
      <c r="AA18" s="332" t="s">
        <v>4348</v>
      </c>
      <c r="AB18" s="331" t="s">
        <v>4147</v>
      </c>
      <c r="AH18" s="351" t="s">
        <v>1526</v>
      </c>
      <c r="AI18" s="351" t="s">
        <v>4257</v>
      </c>
    </row>
    <row r="19" spans="1:35">
      <c r="A19" s="577"/>
      <c r="B19" s="330" t="str">
        <f t="shared" si="0"/>
        <v>Imola (elox.) - maximum profile length 2500 mm</v>
      </c>
      <c r="C19" s="323">
        <f t="shared" si="1"/>
        <v>15.308014419161674</v>
      </c>
      <c r="D19" s="323">
        <f t="shared" si="2"/>
        <v>9.1744383233532911</v>
      </c>
      <c r="E19" s="323">
        <v>442.91781719999994</v>
      </c>
      <c r="F19" s="323">
        <v>264.79223999999994</v>
      </c>
      <c r="G19" s="323">
        <v>15.308014419161674</v>
      </c>
      <c r="H19" s="323">
        <v>9.1744383233532911</v>
      </c>
      <c r="I19" s="323">
        <v>59.9474898</v>
      </c>
      <c r="J19" s="323">
        <v>41.633999999999993</v>
      </c>
      <c r="K19" s="323">
        <v>5585.6165516129022</v>
      </c>
      <c r="L19" s="323">
        <v>3561.7215483870959</v>
      </c>
      <c r="M19" s="332" t="s">
        <v>4495</v>
      </c>
      <c r="N19" s="332" t="s">
        <v>4496</v>
      </c>
      <c r="O19" s="331" t="s">
        <v>4497</v>
      </c>
      <c r="P19" s="332" t="s">
        <v>4536</v>
      </c>
      <c r="Q19" s="362" t="s">
        <v>4498</v>
      </c>
      <c r="R19" s="487" t="s">
        <v>4847</v>
      </c>
      <c r="S19" s="286">
        <v>2500</v>
      </c>
      <c r="T19" s="286">
        <v>2500</v>
      </c>
      <c r="U19" s="429">
        <v>2700</v>
      </c>
      <c r="V19" s="429">
        <v>700</v>
      </c>
      <c r="AA19" s="333" t="s">
        <v>4499</v>
      </c>
      <c r="AB19" s="332" t="s">
        <v>4148</v>
      </c>
      <c r="AH19" s="351" t="s">
        <v>1527</v>
      </c>
      <c r="AI19" s="351" t="s">
        <v>4258</v>
      </c>
    </row>
    <row r="20" spans="1:35">
      <c r="A20" s="577"/>
      <c r="B20" s="330" t="str">
        <f t="shared" si="0"/>
        <v>Imola black matt - maximum profile length 2500 mm</v>
      </c>
      <c r="C20" s="323">
        <f t="shared" si="1"/>
        <v>19.517814323353292</v>
      </c>
      <c r="D20" s="323">
        <f t="shared" si="2"/>
        <v>9.1744383233532911</v>
      </c>
      <c r="E20" s="323">
        <v>564.72299279999993</v>
      </c>
      <c r="F20" s="323">
        <v>264.79223999999994</v>
      </c>
      <c r="G20" s="323">
        <v>19.517814323353292</v>
      </c>
      <c r="H20" s="323">
        <v>9.1744383233532911</v>
      </c>
      <c r="I20" s="323">
        <v>76.433425199999988</v>
      </c>
      <c r="J20" s="323">
        <v>41.633999999999993</v>
      </c>
      <c r="K20" s="323">
        <v>7121.6961096774194</v>
      </c>
      <c r="L20" s="323">
        <v>3561.7215483870959</v>
      </c>
      <c r="M20" s="332" t="s">
        <v>4345</v>
      </c>
      <c r="N20" s="332" t="s">
        <v>4394</v>
      </c>
      <c r="O20" s="331" t="s">
        <v>4450</v>
      </c>
      <c r="P20" s="332" t="s">
        <v>4537</v>
      </c>
      <c r="Q20" s="362" t="s">
        <v>4193</v>
      </c>
      <c r="R20" s="487" t="s">
        <v>4848</v>
      </c>
      <c r="S20" s="286">
        <v>2500</v>
      </c>
      <c r="T20" s="286">
        <v>2500</v>
      </c>
      <c r="U20" s="429">
        <v>2700</v>
      </c>
      <c r="V20" s="429">
        <v>700</v>
      </c>
      <c r="AA20" s="331" t="s">
        <v>4349</v>
      </c>
      <c r="AB20" s="331" t="s">
        <v>4149</v>
      </c>
      <c r="AH20" s="351" t="s">
        <v>4709</v>
      </c>
      <c r="AI20" s="351" t="s">
        <v>4259</v>
      </c>
    </row>
    <row r="21" spans="1:35">
      <c r="A21" s="577"/>
      <c r="B21" s="330" t="str">
        <f t="shared" si="0"/>
        <v>Imola white matt RAL 9003 - maximum profile length 2500 mm</v>
      </c>
      <c r="C21" s="323">
        <f t="shared" si="1"/>
        <v>32.40360888661079</v>
      </c>
      <c r="D21" s="323">
        <f t="shared" si="2"/>
        <v>9.1744383233532911</v>
      </c>
      <c r="E21" s="323">
        <v>937.55697665760022</v>
      </c>
      <c r="F21" s="323">
        <v>264.79223999999994</v>
      </c>
      <c r="G21" s="323">
        <v>32.40360888661079</v>
      </c>
      <c r="H21" s="323">
        <v>9.1744383233532911</v>
      </c>
      <c r="I21" s="323">
        <v>126.89529549840002</v>
      </c>
      <c r="J21" s="323">
        <v>41.633999999999993</v>
      </c>
      <c r="K21" s="323">
        <v>11823.488610154842</v>
      </c>
      <c r="L21" s="323">
        <v>3561.7215483870959</v>
      </c>
      <c r="M21" s="331" t="s">
        <v>4346</v>
      </c>
      <c r="N21" s="331" t="s">
        <v>4395</v>
      </c>
      <c r="O21" s="331" t="s">
        <v>4451</v>
      </c>
      <c r="P21" s="331" t="s">
        <v>4538</v>
      </c>
      <c r="Q21" s="362" t="s">
        <v>4194</v>
      </c>
      <c r="R21" s="487" t="s">
        <v>4849</v>
      </c>
      <c r="S21" s="286">
        <v>2500</v>
      </c>
      <c r="T21" s="286">
        <v>2500</v>
      </c>
      <c r="U21" s="429">
        <v>2700</v>
      </c>
      <c r="V21" s="429">
        <v>700</v>
      </c>
      <c r="AA21" s="331" t="s">
        <v>4350</v>
      </c>
      <c r="AB21" s="331" t="s">
        <v>4150</v>
      </c>
      <c r="AH21" s="351" t="s">
        <v>1531</v>
      </c>
      <c r="AI21" s="351" t="s">
        <v>4260</v>
      </c>
    </row>
    <row r="22" spans="1:35">
      <c r="A22" s="577"/>
      <c r="B22" s="330" t="str">
        <f t="shared" si="0"/>
        <v>Modena (elox.) - maximum profile length 2500 mm</v>
      </c>
      <c r="C22" s="323">
        <f t="shared" si="1"/>
        <v>19.981391195209579</v>
      </c>
      <c r="D22" s="323">
        <f t="shared" si="2"/>
        <v>9.1744383233532911</v>
      </c>
      <c r="E22" s="323">
        <v>578.13599663999992</v>
      </c>
      <c r="F22" s="323">
        <v>264.79223999999994</v>
      </c>
      <c r="G22" s="323">
        <v>19.981391195209579</v>
      </c>
      <c r="H22" s="323">
        <v>9.1744383233532911</v>
      </c>
      <c r="I22" s="323">
        <v>78.248831759999987</v>
      </c>
      <c r="J22" s="323">
        <v>41.633999999999993</v>
      </c>
      <c r="K22" s="323">
        <v>7290.846894193548</v>
      </c>
      <c r="L22" s="323">
        <v>3561.7215483870959</v>
      </c>
      <c r="M22" s="332" t="s">
        <v>4347</v>
      </c>
      <c r="N22" s="332" t="s">
        <v>4396</v>
      </c>
      <c r="O22" s="331" t="s">
        <v>4452</v>
      </c>
      <c r="P22" s="332" t="s">
        <v>4539</v>
      </c>
      <c r="Q22" s="362" t="s">
        <v>4081</v>
      </c>
      <c r="R22" s="487" t="s">
        <v>4850</v>
      </c>
      <c r="S22" s="286">
        <v>2500</v>
      </c>
      <c r="T22" s="286">
        <v>2500</v>
      </c>
      <c r="U22" s="429">
        <v>2700</v>
      </c>
      <c r="V22" s="429">
        <v>700</v>
      </c>
      <c r="AA22" s="332" t="s">
        <v>4353</v>
      </c>
      <c r="AB22" s="331" t="s">
        <v>4151</v>
      </c>
      <c r="AH22" s="351" t="s">
        <v>685</v>
      </c>
      <c r="AI22" s="351" t="s">
        <v>4261</v>
      </c>
    </row>
    <row r="23" spans="1:35">
      <c r="A23" s="577"/>
      <c r="B23" s="330" t="str">
        <f t="shared" si="0"/>
        <v>Modena black matt - maximum profile length 2500 mm</v>
      </c>
      <c r="C23" s="323">
        <f t="shared" si="1"/>
        <v>20.894115725029938</v>
      </c>
      <c r="D23" s="323">
        <f t="shared" si="2"/>
        <v>9.2592215568862262</v>
      </c>
      <c r="E23" s="323">
        <v>604.54451347199995</v>
      </c>
      <c r="F23" s="323">
        <v>267.23924999999997</v>
      </c>
      <c r="G23" s="323">
        <v>20.894115725029938</v>
      </c>
      <c r="H23" s="323">
        <v>9.2592215568862262</v>
      </c>
      <c r="I23" s="323">
        <v>81.823138847999985</v>
      </c>
      <c r="J23" s="323">
        <v>42.018750000000004</v>
      </c>
      <c r="K23" s="323">
        <v>7623.8835050322587</v>
      </c>
      <c r="L23" s="323">
        <v>3594.6362903225804</v>
      </c>
      <c r="M23" s="332" t="s">
        <v>4348</v>
      </c>
      <c r="N23" s="332" t="s">
        <v>4397</v>
      </c>
      <c r="O23" s="331" t="s">
        <v>4453</v>
      </c>
      <c r="P23" s="332" t="s">
        <v>4540</v>
      </c>
      <c r="Q23" s="362" t="s">
        <v>4195</v>
      </c>
      <c r="R23" s="487" t="s">
        <v>4851</v>
      </c>
      <c r="S23" s="286">
        <v>2500</v>
      </c>
      <c r="T23" s="286">
        <v>2500</v>
      </c>
      <c r="U23" s="429">
        <v>2700</v>
      </c>
      <c r="V23" s="429">
        <v>700</v>
      </c>
      <c r="AA23" s="332" t="s">
        <v>4503</v>
      </c>
      <c r="AB23" s="331" t="s">
        <v>4152</v>
      </c>
      <c r="AH23" s="352" t="s">
        <v>4710</v>
      </c>
      <c r="AI23" s="351" t="s">
        <v>3605</v>
      </c>
    </row>
    <row r="24" spans="1:35">
      <c r="A24" s="577"/>
      <c r="B24" s="330" t="str">
        <f t="shared" si="0"/>
        <v>Verona gold - maximum profile length 2150 mm</v>
      </c>
      <c r="C24" s="323">
        <f t="shared" si="1"/>
        <v>23.436727415568861</v>
      </c>
      <c r="D24" s="323">
        <f t="shared" si="2"/>
        <v>7.3270562874251493</v>
      </c>
      <c r="E24" s="323">
        <v>678.11173055999996</v>
      </c>
      <c r="F24" s="323">
        <v>211.47318000000001</v>
      </c>
      <c r="G24" s="323">
        <v>23.436727415568861</v>
      </c>
      <c r="H24" s="323">
        <v>7.3270562874251493</v>
      </c>
      <c r="I24" s="323">
        <v>91.780223039999996</v>
      </c>
      <c r="J24" s="323">
        <v>33.250500000000002</v>
      </c>
      <c r="K24" s="323">
        <v>8551.6363509677412</v>
      </c>
      <c r="L24" s="323">
        <v>2844.5266451612906</v>
      </c>
      <c r="M24" s="333" t="s">
        <v>4499</v>
      </c>
      <c r="N24" s="333" t="s">
        <v>4500</v>
      </c>
      <c r="O24" s="332" t="s">
        <v>4501</v>
      </c>
      <c r="P24" s="332" t="s">
        <v>4541</v>
      </c>
      <c r="Q24" s="331" t="s">
        <v>4502</v>
      </c>
      <c r="R24" s="487" t="s">
        <v>4852</v>
      </c>
      <c r="S24" s="286">
        <v>2150</v>
      </c>
      <c r="T24" s="286">
        <v>2150</v>
      </c>
      <c r="U24" s="429">
        <v>2150</v>
      </c>
      <c r="V24" s="429">
        <v>700</v>
      </c>
      <c r="AA24" s="333" t="s">
        <v>4507</v>
      </c>
      <c r="AB24" s="332" t="s">
        <v>4153</v>
      </c>
      <c r="AH24" s="352" t="s">
        <v>688</v>
      </c>
      <c r="AI24" s="351" t="s">
        <v>4262</v>
      </c>
    </row>
    <row r="25" spans="1:35">
      <c r="A25" s="577"/>
      <c r="B25" s="330" t="str">
        <f t="shared" si="0"/>
        <v>black black brushed - maximum profile length 2500 mm</v>
      </c>
      <c r="C25" s="323">
        <f t="shared" si="1"/>
        <v>29.129359300598797</v>
      </c>
      <c r="D25" s="323">
        <f t="shared" si="2"/>
        <v>7.3270562874251493</v>
      </c>
      <c r="E25" s="323">
        <v>842.82075287999987</v>
      </c>
      <c r="F25" s="323">
        <v>211.47318000000001</v>
      </c>
      <c r="G25" s="323">
        <v>29.129359300598797</v>
      </c>
      <c r="H25" s="323">
        <v>7.3270562874251493</v>
      </c>
      <c r="I25" s="323">
        <v>114.07305491999999</v>
      </c>
      <c r="J25" s="323">
        <v>33.250500000000002</v>
      </c>
      <c r="K25" s="323">
        <v>10628.774378709677</v>
      </c>
      <c r="L25" s="323">
        <v>2844.5266451612906</v>
      </c>
      <c r="M25" s="331" t="s">
        <v>4349</v>
      </c>
      <c r="N25" s="331" t="s">
        <v>4398</v>
      </c>
      <c r="O25" s="331" t="s">
        <v>4454</v>
      </c>
      <c r="P25" s="331" t="s">
        <v>4542</v>
      </c>
      <c r="Q25" s="362" t="s">
        <v>4196</v>
      </c>
      <c r="R25" s="487" t="s">
        <v>4853</v>
      </c>
      <c r="S25" s="286">
        <v>2500</v>
      </c>
      <c r="T25" s="286">
        <v>2500</v>
      </c>
      <c r="U25" s="429">
        <v>2700</v>
      </c>
      <c r="V25" s="429">
        <v>700</v>
      </c>
      <c r="AA25" s="332" t="s">
        <v>4356</v>
      </c>
      <c r="AB25" s="331" t="s">
        <v>4154</v>
      </c>
      <c r="AH25" s="352" t="s">
        <v>4711</v>
      </c>
      <c r="AI25" s="351" t="s">
        <v>4263</v>
      </c>
    </row>
    <row r="26" spans="1:35">
      <c r="A26" s="577"/>
      <c r="B26" s="330" t="str">
        <f t="shared" si="0"/>
        <v>Modena dark stainless steel brushed - maximum profile length 2500 mm</v>
      </c>
      <c r="C26" s="323">
        <f t="shared" si="1"/>
        <v>26.462123784431139</v>
      </c>
      <c r="D26" s="323">
        <f t="shared" si="2"/>
        <v>9.1744383233532911</v>
      </c>
      <c r="E26" s="323">
        <v>765.64770480000004</v>
      </c>
      <c r="F26" s="323">
        <v>264.79223999999994</v>
      </c>
      <c r="G26" s="323">
        <v>26.462123784431139</v>
      </c>
      <c r="H26" s="323">
        <v>9.1744383233532911</v>
      </c>
      <c r="I26" s="323">
        <v>103.6279332</v>
      </c>
      <c r="J26" s="323">
        <v>41.633999999999993</v>
      </c>
      <c r="K26" s="323">
        <v>9655.5485612903231</v>
      </c>
      <c r="L26" s="323">
        <v>3561.7215483870959</v>
      </c>
      <c r="M26" s="331" t="s">
        <v>4350</v>
      </c>
      <c r="N26" s="331" t="s">
        <v>4399</v>
      </c>
      <c r="O26" s="331" t="s">
        <v>4455</v>
      </c>
      <c r="P26" s="331" t="s">
        <v>4543</v>
      </c>
      <c r="Q26" s="362" t="s">
        <v>4197</v>
      </c>
      <c r="R26" s="487" t="s">
        <v>4854</v>
      </c>
      <c r="S26" s="286">
        <v>2500</v>
      </c>
      <c r="T26" s="286">
        <v>2500</v>
      </c>
      <c r="U26" s="429">
        <v>2700</v>
      </c>
      <c r="V26" s="429">
        <v>700</v>
      </c>
      <c r="AA26" s="332" t="s">
        <v>4357</v>
      </c>
      <c r="AB26" s="331" t="s">
        <v>4155</v>
      </c>
      <c r="AH26" s="352" t="s">
        <v>690</v>
      </c>
      <c r="AI26" s="351" t="s">
        <v>4264</v>
      </c>
    </row>
    <row r="27" spans="1:35">
      <c r="A27" s="577"/>
      <c r="B27" s="330"/>
      <c r="C27" s="323">
        <f t="shared" si="1"/>
        <v>17.830824316167664</v>
      </c>
      <c r="D27" s="323">
        <f t="shared" si="2"/>
        <v>9.1744383233532911</v>
      </c>
      <c r="E27" s="323">
        <v>515.91209472000003</v>
      </c>
      <c r="F27" s="323">
        <v>264.79223999999994</v>
      </c>
      <c r="G27" s="323">
        <v>17.830824316167664</v>
      </c>
      <c r="H27" s="323">
        <v>9.1744383233532911</v>
      </c>
      <c r="I27" s="323">
        <v>69.827028479999996</v>
      </c>
      <c r="J27" s="323">
        <v>41.633999999999993</v>
      </c>
      <c r="K27" s="323">
        <v>6506.1440825806449</v>
      </c>
      <c r="L27" s="323">
        <v>3561.7215483870959</v>
      </c>
      <c r="M27" s="332" t="s">
        <v>4351</v>
      </c>
      <c r="N27" s="331" t="s">
        <v>4400</v>
      </c>
      <c r="O27" s="331" t="s">
        <v>4456</v>
      </c>
      <c r="P27" s="331" t="s">
        <v>4544</v>
      </c>
      <c r="Q27" s="362" t="s">
        <v>4082</v>
      </c>
      <c r="R27" s="487" t="s">
        <v>4855</v>
      </c>
      <c r="S27" s="286">
        <v>2500</v>
      </c>
      <c r="T27" s="286">
        <v>2500</v>
      </c>
      <c r="U27" s="429">
        <v>2700</v>
      </c>
      <c r="V27" s="429">
        <v>700</v>
      </c>
      <c r="AA27" s="332" t="s">
        <v>4358</v>
      </c>
      <c r="AB27" s="331" t="s">
        <v>4156</v>
      </c>
      <c r="AH27" s="352" t="s">
        <v>4712</v>
      </c>
      <c r="AI27" s="351" t="s">
        <v>4265</v>
      </c>
    </row>
    <row r="28" spans="1:35">
      <c r="A28" s="577"/>
      <c r="B28" s="330"/>
      <c r="C28" s="323">
        <f t="shared" si="1"/>
        <v>20.753507640718563</v>
      </c>
      <c r="D28" s="323">
        <f t="shared" si="2"/>
        <v>9.2592215568862262</v>
      </c>
      <c r="E28" s="323">
        <v>600.47619840000004</v>
      </c>
      <c r="F28" s="323">
        <v>267.23924999999997</v>
      </c>
      <c r="G28" s="323">
        <v>20.753507640718563</v>
      </c>
      <c r="H28" s="323">
        <v>9.2592215568862262</v>
      </c>
      <c r="I28" s="323">
        <v>81.272505600000002</v>
      </c>
      <c r="J28" s="323">
        <v>42.018750000000004</v>
      </c>
      <c r="K28" s="323">
        <v>7572.5781677419354</v>
      </c>
      <c r="L28" s="323">
        <v>3594.6362903225804</v>
      </c>
      <c r="M28" s="332" t="s">
        <v>4352</v>
      </c>
      <c r="N28" s="331" t="s">
        <v>4401</v>
      </c>
      <c r="O28" s="331" t="s">
        <v>4457</v>
      </c>
      <c r="P28" s="331" t="s">
        <v>4545</v>
      </c>
      <c r="Q28" s="362" t="s">
        <v>4198</v>
      </c>
      <c r="R28" s="487" t="s">
        <v>4856</v>
      </c>
      <c r="S28" s="286">
        <v>2500</v>
      </c>
      <c r="T28" s="286">
        <v>2500</v>
      </c>
      <c r="U28" s="429">
        <v>2700</v>
      </c>
      <c r="V28" s="429">
        <v>700</v>
      </c>
      <c r="AA28" s="332" t="s">
        <v>4359</v>
      </c>
      <c r="AB28" s="331" t="s">
        <v>4157</v>
      </c>
      <c r="AH28" s="352" t="s">
        <v>48</v>
      </c>
      <c r="AI28" s="351" t="s">
        <v>4266</v>
      </c>
    </row>
    <row r="29" spans="1:35">
      <c r="A29" s="577"/>
      <c r="B29" s="330" t="str">
        <f t="shared" si="0"/>
        <v>Pisa (elox.) - maximum profile length 2500 mm</v>
      </c>
      <c r="C29" s="323">
        <f t="shared" si="1"/>
        <v>16.084582430658681</v>
      </c>
      <c r="D29" s="323">
        <f t="shared" si="2"/>
        <v>9.1744383233532911</v>
      </c>
      <c r="E29" s="323">
        <v>465.386819328</v>
      </c>
      <c r="F29" s="323">
        <v>264.79223999999994</v>
      </c>
      <c r="G29" s="323">
        <v>16.084582430658681</v>
      </c>
      <c r="H29" s="323">
        <v>9.1744383233532911</v>
      </c>
      <c r="I29" s="323">
        <v>62.988596351999995</v>
      </c>
      <c r="J29" s="323">
        <v>41.633999999999993</v>
      </c>
      <c r="K29" s="323">
        <v>5868.9721207741941</v>
      </c>
      <c r="L29" s="323">
        <v>3561.7215483870959</v>
      </c>
      <c r="M29" s="332" t="s">
        <v>4353</v>
      </c>
      <c r="N29" s="331" t="s">
        <v>4402</v>
      </c>
      <c r="O29" s="331" t="s">
        <v>4458</v>
      </c>
      <c r="P29" s="331" t="s">
        <v>4546</v>
      </c>
      <c r="Q29" s="362" t="s">
        <v>4083</v>
      </c>
      <c r="R29" s="487" t="s">
        <v>4857</v>
      </c>
      <c r="S29" s="286">
        <v>2500</v>
      </c>
      <c r="T29" s="286">
        <v>2500</v>
      </c>
      <c r="U29" s="429">
        <v>2700</v>
      </c>
      <c r="V29" s="429">
        <v>700</v>
      </c>
      <c r="AA29" s="331" t="s">
        <v>4360</v>
      </c>
      <c r="AB29" s="331" t="s">
        <v>4158</v>
      </c>
      <c r="AH29" s="352" t="s">
        <v>32</v>
      </c>
      <c r="AI29" s="351" t="s">
        <v>4267</v>
      </c>
    </row>
    <row r="30" spans="1:35">
      <c r="A30" s="577"/>
      <c r="B30" s="330" t="str">
        <f t="shared" si="0"/>
        <v>Pisa black matt - maximum profile length 2500 mm</v>
      </c>
      <c r="C30" s="323">
        <f t="shared" si="1"/>
        <v>20.509899529580842</v>
      </c>
      <c r="D30" s="323">
        <f t="shared" si="2"/>
        <v>9.2592215568862262</v>
      </c>
      <c r="E30" s="323">
        <v>593.4277092960001</v>
      </c>
      <c r="F30" s="323">
        <v>267.23924999999997</v>
      </c>
      <c r="G30" s="323">
        <v>20.509899529580842</v>
      </c>
      <c r="H30" s="323">
        <v>9.2592215568862262</v>
      </c>
      <c r="I30" s="323">
        <v>80.318515464000015</v>
      </c>
      <c r="J30" s="323">
        <v>42.018750000000004</v>
      </c>
      <c r="K30" s="323">
        <v>7483.6899905806467</v>
      </c>
      <c r="L30" s="323">
        <v>3594.6362903225804</v>
      </c>
      <c r="M30" s="332" t="s">
        <v>4503</v>
      </c>
      <c r="N30" s="332" t="s">
        <v>4504</v>
      </c>
      <c r="O30" s="331" t="s">
        <v>4505</v>
      </c>
      <c r="P30" s="332" t="s">
        <v>4547</v>
      </c>
      <c r="Q30" s="362" t="s">
        <v>4506</v>
      </c>
      <c r="R30" s="487" t="s">
        <v>4858</v>
      </c>
      <c r="S30" s="286">
        <v>2500</v>
      </c>
      <c r="T30" s="286">
        <v>2500</v>
      </c>
      <c r="U30" s="429">
        <v>2700</v>
      </c>
      <c r="V30" s="429">
        <v>700</v>
      </c>
      <c r="AA30" s="331" t="s">
        <v>4361</v>
      </c>
      <c r="AB30" s="331" t="s">
        <v>4159</v>
      </c>
      <c r="AH30" s="352" t="s">
        <v>4713</v>
      </c>
      <c r="AI30" s="351" t="s">
        <v>4268</v>
      </c>
    </row>
    <row r="31" spans="1:35">
      <c r="A31" s="577"/>
      <c r="B31" s="330" t="str">
        <f t="shared" si="0"/>
        <v>Vivaro gold - maximum profile length 2150 mm</v>
      </c>
      <c r="C31" s="323">
        <f t="shared" si="1"/>
        <v>35.470538299401206</v>
      </c>
      <c r="D31" s="323">
        <f t="shared" si="2"/>
        <v>9.1744383233532911</v>
      </c>
      <c r="E31" s="323">
        <v>1026.2946564000001</v>
      </c>
      <c r="F31" s="323">
        <v>264.79223999999994</v>
      </c>
      <c r="G31" s="323">
        <v>35.470538299401206</v>
      </c>
      <c r="H31" s="323">
        <v>9.1744383233532911</v>
      </c>
      <c r="I31" s="323">
        <v>138.90565260000002</v>
      </c>
      <c r="J31" s="323">
        <v>41.633999999999993</v>
      </c>
      <c r="K31" s="323">
        <v>12942.55547419355</v>
      </c>
      <c r="L31" s="323">
        <v>3561.7215483870959</v>
      </c>
      <c r="M31" s="333" t="s">
        <v>4507</v>
      </c>
      <c r="N31" s="333" t="s">
        <v>4508</v>
      </c>
      <c r="O31" s="332" t="s">
        <v>4509</v>
      </c>
      <c r="P31" s="332" t="s">
        <v>4548</v>
      </c>
      <c r="Q31" s="331" t="s">
        <v>4510</v>
      </c>
      <c r="R31" s="487" t="s">
        <v>4859</v>
      </c>
      <c r="S31" s="286">
        <v>2150</v>
      </c>
      <c r="T31" s="286">
        <v>2150</v>
      </c>
      <c r="U31" s="429">
        <v>2150</v>
      </c>
      <c r="V31" s="429">
        <v>700</v>
      </c>
      <c r="AA31" s="332" t="s">
        <v>4362</v>
      </c>
      <c r="AB31" s="331" t="s">
        <v>4160</v>
      </c>
      <c r="AH31" s="351" t="s">
        <v>4671</v>
      </c>
      <c r="AI31" s="351" t="s">
        <v>4269</v>
      </c>
    </row>
    <row r="32" spans="1:35">
      <c r="A32" s="577"/>
      <c r="B32" s="330"/>
      <c r="C32" s="323">
        <f t="shared" si="1"/>
        <v>17.830824316167664</v>
      </c>
      <c r="D32" s="323">
        <f t="shared" si="2"/>
        <v>9.1744383233532911</v>
      </c>
      <c r="E32" s="323">
        <v>515.91209472000003</v>
      </c>
      <c r="F32" s="323">
        <v>264.79223999999994</v>
      </c>
      <c r="G32" s="323">
        <v>17.830824316167664</v>
      </c>
      <c r="H32" s="323">
        <v>9.1744383233532911</v>
      </c>
      <c r="I32" s="323">
        <v>69.827028479999996</v>
      </c>
      <c r="J32" s="323">
        <v>41.633999999999993</v>
      </c>
      <c r="K32" s="323">
        <v>6506.1440825806449</v>
      </c>
      <c r="L32" s="323">
        <v>3561.7215483870959</v>
      </c>
      <c r="M32" s="332" t="s">
        <v>4354</v>
      </c>
      <c r="N32" s="332" t="s">
        <v>4403</v>
      </c>
      <c r="O32" s="331" t="s">
        <v>4459</v>
      </c>
      <c r="P32" s="332" t="s">
        <v>4549</v>
      </c>
      <c r="Q32" s="362" t="s">
        <v>4084</v>
      </c>
      <c r="R32" s="487" t="s">
        <v>4860</v>
      </c>
      <c r="S32" s="286">
        <v>2500</v>
      </c>
      <c r="T32" s="286">
        <v>2500</v>
      </c>
      <c r="U32" s="429">
        <v>2700</v>
      </c>
      <c r="V32" s="429">
        <v>700</v>
      </c>
      <c r="AA32" s="332" t="s">
        <v>4363</v>
      </c>
      <c r="AB32" s="331" t="s">
        <v>4161</v>
      </c>
      <c r="AH32" s="352" t="s">
        <v>43</v>
      </c>
      <c r="AI32" s="351" t="s">
        <v>4270</v>
      </c>
    </row>
    <row r="33" spans="1:35">
      <c r="A33" s="577"/>
      <c r="B33" s="330"/>
      <c r="C33" s="323">
        <f t="shared" si="1"/>
        <v>20.753507640718563</v>
      </c>
      <c r="D33" s="323">
        <f t="shared" si="2"/>
        <v>9.2592215568862262</v>
      </c>
      <c r="E33" s="323">
        <v>600.47619840000004</v>
      </c>
      <c r="F33" s="323">
        <v>267.23924999999997</v>
      </c>
      <c r="G33" s="323">
        <v>20.753507640718563</v>
      </c>
      <c r="H33" s="323">
        <v>9.2592215568862262</v>
      </c>
      <c r="I33" s="323">
        <v>81.272505600000002</v>
      </c>
      <c r="J33" s="323">
        <v>42.018750000000004</v>
      </c>
      <c r="K33" s="323">
        <v>7572.5781677419354</v>
      </c>
      <c r="L33" s="323">
        <v>3594.6362903225804</v>
      </c>
      <c r="M33" s="332" t="s">
        <v>4355</v>
      </c>
      <c r="N33" s="332" t="s">
        <v>4404</v>
      </c>
      <c r="O33" s="331" t="s">
        <v>4460</v>
      </c>
      <c r="P33" s="332" t="s">
        <v>4550</v>
      </c>
      <c r="Q33" s="362" t="s">
        <v>4199</v>
      </c>
      <c r="R33" s="487" t="s">
        <v>4861</v>
      </c>
      <c r="S33" s="286">
        <v>2500</v>
      </c>
      <c r="T33" s="286">
        <v>2500</v>
      </c>
      <c r="U33" s="429">
        <v>2700</v>
      </c>
      <c r="V33" s="429">
        <v>700</v>
      </c>
      <c r="AA33" s="330" t="s">
        <v>4364</v>
      </c>
      <c r="AB33" s="331" t="s">
        <v>4162</v>
      </c>
      <c r="AH33" s="352" t="s">
        <v>50</v>
      </c>
      <c r="AI33" s="351" t="s">
        <v>4271</v>
      </c>
    </row>
    <row r="34" spans="1:35">
      <c r="A34" s="577"/>
      <c r="B34" s="330" t="str">
        <f t="shared" si="0"/>
        <v>Verona (elox.) - maximum profile length 2500 mm</v>
      </c>
      <c r="C34" s="323">
        <f t="shared" si="1"/>
        <v>10.81423530538922</v>
      </c>
      <c r="D34" s="323">
        <f t="shared" si="2"/>
        <v>7.3270562874251493</v>
      </c>
      <c r="E34" s="323">
        <v>312.89606639999994</v>
      </c>
      <c r="F34" s="323">
        <v>211.47318000000001</v>
      </c>
      <c r="G34" s="323">
        <v>10.81423530538922</v>
      </c>
      <c r="H34" s="323">
        <v>7.3270562874251493</v>
      </c>
      <c r="I34" s="323">
        <v>42.34946759999999</v>
      </c>
      <c r="J34" s="323">
        <v>33.250500000000002</v>
      </c>
      <c r="K34" s="323">
        <v>3945.9181354838706</v>
      </c>
      <c r="L34" s="323">
        <v>2844.5266451612906</v>
      </c>
      <c r="M34" s="332" t="s">
        <v>4356</v>
      </c>
      <c r="N34" s="332" t="s">
        <v>4405</v>
      </c>
      <c r="O34" s="331" t="s">
        <v>4461</v>
      </c>
      <c r="P34" s="332" t="s">
        <v>4551</v>
      </c>
      <c r="Q34" s="362" t="s">
        <v>4085</v>
      </c>
      <c r="R34" s="487" t="s">
        <v>4862</v>
      </c>
      <c r="S34" s="286">
        <v>2500</v>
      </c>
      <c r="T34" s="286">
        <v>2500</v>
      </c>
      <c r="U34" s="429">
        <v>2500</v>
      </c>
      <c r="V34" s="429">
        <v>700</v>
      </c>
      <c r="AA34" s="332" t="s">
        <v>4365</v>
      </c>
      <c r="AB34" s="331" t="s">
        <v>4163</v>
      </c>
      <c r="AH34" s="352" t="s">
        <v>52</v>
      </c>
      <c r="AI34" s="351" t="s">
        <v>4272</v>
      </c>
    </row>
    <row r="35" spans="1:35">
      <c r="A35" s="577"/>
      <c r="B35" s="330" t="str">
        <f t="shared" si="0"/>
        <v>Verona brushed aluminium - maximum profile length 2500 mm</v>
      </c>
      <c r="C35" s="323">
        <f t="shared" si="1"/>
        <v>16.543707736526944</v>
      </c>
      <c r="D35" s="323">
        <f t="shared" si="2"/>
        <v>7.3270562874251493</v>
      </c>
      <c r="E35" s="323">
        <v>478.67102279999989</v>
      </c>
      <c r="F35" s="323">
        <v>211.47318000000001</v>
      </c>
      <c r="G35" s="323">
        <v>16.543707736526944</v>
      </c>
      <c r="H35" s="323">
        <v>7.3270562874251493</v>
      </c>
      <c r="I35" s="323">
        <v>64.786570199999986</v>
      </c>
      <c r="J35" s="323">
        <v>33.250500000000002</v>
      </c>
      <c r="K35" s="323">
        <v>6036.4986096774182</v>
      </c>
      <c r="L35" s="323">
        <v>2844.5266451612906</v>
      </c>
      <c r="M35" s="332" t="s">
        <v>4357</v>
      </c>
      <c r="N35" s="332" t="s">
        <v>4406</v>
      </c>
      <c r="O35" s="331" t="s">
        <v>4462</v>
      </c>
      <c r="P35" s="332" t="s">
        <v>4552</v>
      </c>
      <c r="Q35" s="362" t="s">
        <v>4200</v>
      </c>
      <c r="R35" s="487" t="s">
        <v>4863</v>
      </c>
      <c r="S35" s="286">
        <v>2500</v>
      </c>
      <c r="T35" s="286">
        <v>2500</v>
      </c>
      <c r="U35" s="429">
        <v>2500</v>
      </c>
      <c r="V35" s="429">
        <v>700</v>
      </c>
      <c r="AA35" s="332" t="s">
        <v>4366</v>
      </c>
      <c r="AB35" s="331" t="s">
        <v>4164</v>
      </c>
      <c r="AH35" s="352" t="s">
        <v>51</v>
      </c>
      <c r="AI35" s="351" t="s">
        <v>4273</v>
      </c>
    </row>
    <row r="36" spans="1:35">
      <c r="A36" s="577"/>
      <c r="B36" s="330" t="str">
        <f t="shared" si="0"/>
        <v>Verona black gloss - maximum profile length 2500 mm</v>
      </c>
      <c r="C36" s="323">
        <f t="shared" si="1"/>
        <v>23.090079233532936</v>
      </c>
      <c r="D36" s="323">
        <f t="shared" si="2"/>
        <v>7.4118395209580834</v>
      </c>
      <c r="E36" s="323">
        <v>668.08190880000006</v>
      </c>
      <c r="F36" s="323">
        <v>213.92019000000002</v>
      </c>
      <c r="G36" s="323">
        <v>23.090079233532936</v>
      </c>
      <c r="H36" s="323">
        <v>7.4118395209580834</v>
      </c>
      <c r="I36" s="323">
        <v>90.422719200000003</v>
      </c>
      <c r="J36" s="323">
        <v>33.635249999999999</v>
      </c>
      <c r="K36" s="323">
        <v>8425.1507225806472</v>
      </c>
      <c r="L36" s="323">
        <v>2877.4413870967746</v>
      </c>
      <c r="M36" s="332" t="s">
        <v>4358</v>
      </c>
      <c r="N36" s="332" t="s">
        <v>4407</v>
      </c>
      <c r="O36" s="331" t="s">
        <v>4463</v>
      </c>
      <c r="P36" s="332" t="s">
        <v>4553</v>
      </c>
      <c r="Q36" s="362" t="s">
        <v>4201</v>
      </c>
      <c r="R36" s="487" t="s">
        <v>4864</v>
      </c>
      <c r="S36" s="286">
        <v>2500</v>
      </c>
      <c r="T36" s="286">
        <v>2500</v>
      </c>
      <c r="U36" s="429">
        <v>2500</v>
      </c>
      <c r="V36" s="429">
        <v>700</v>
      </c>
      <c r="AA36" s="422" t="s">
        <v>4367</v>
      </c>
      <c r="AB36" s="362" t="s">
        <v>4165</v>
      </c>
      <c r="AH36" s="352" t="s">
        <v>969</v>
      </c>
      <c r="AI36" s="351" t="s">
        <v>4274</v>
      </c>
    </row>
    <row r="37" spans="1:35">
      <c r="A37" s="577"/>
      <c r="B37" s="330" t="str">
        <f t="shared" si="0"/>
        <v>Verona black matt - maximum profile length 2500 mm</v>
      </c>
      <c r="C37" s="323">
        <f t="shared" si="1"/>
        <v>13.327835065868262</v>
      </c>
      <c r="D37" s="323">
        <f t="shared" si="2"/>
        <v>7.4118395209580834</v>
      </c>
      <c r="E37" s="323">
        <v>385.62386039999996</v>
      </c>
      <c r="F37" s="323">
        <v>213.92019000000002</v>
      </c>
      <c r="G37" s="323">
        <v>13.327835065868262</v>
      </c>
      <c r="H37" s="323">
        <v>7.4118395209580834</v>
      </c>
      <c r="I37" s="323">
        <v>52.192938599999998</v>
      </c>
      <c r="J37" s="323">
        <v>33.635249999999999</v>
      </c>
      <c r="K37" s="323">
        <v>4863.0850548387098</v>
      </c>
      <c r="L37" s="323">
        <v>2877.4413870967746</v>
      </c>
      <c r="M37" s="332" t="s">
        <v>4359</v>
      </c>
      <c r="N37" s="332" t="s">
        <v>4408</v>
      </c>
      <c r="O37" s="331" t="s">
        <v>4464</v>
      </c>
      <c r="P37" s="332" t="s">
        <v>4554</v>
      </c>
      <c r="Q37" s="362" t="s">
        <v>4202</v>
      </c>
      <c r="R37" s="487" t="s">
        <v>4865</v>
      </c>
      <c r="S37" s="286">
        <v>2500</v>
      </c>
      <c r="T37" s="286">
        <v>2500</v>
      </c>
      <c r="U37" s="429">
        <v>2500</v>
      </c>
      <c r="V37" s="429">
        <v>700</v>
      </c>
      <c r="AA37" s="332" t="s">
        <v>4368</v>
      </c>
      <c r="AB37" s="331" t="s">
        <v>4166</v>
      </c>
      <c r="AH37" s="352" t="s">
        <v>34</v>
      </c>
      <c r="AI37" s="351" t="s">
        <v>4275</v>
      </c>
    </row>
    <row r="38" spans="1:35">
      <c r="A38" s="577"/>
      <c r="B38" s="330" t="str">
        <f t="shared" si="0"/>
        <v>Verona brown - maximum profile length 2500 mm</v>
      </c>
      <c r="C38" s="323">
        <f t="shared" si="1"/>
        <v>13.860948468502993</v>
      </c>
      <c r="D38" s="323">
        <f t="shared" si="2"/>
        <v>7.3270562874251493</v>
      </c>
      <c r="E38" s="323">
        <v>401.04881481599995</v>
      </c>
      <c r="F38" s="323">
        <v>211.47318000000001</v>
      </c>
      <c r="G38" s="323">
        <v>13.860948468502993</v>
      </c>
      <c r="H38" s="323">
        <v>7.3270562874251493</v>
      </c>
      <c r="I38" s="323">
        <v>54.280656143999991</v>
      </c>
      <c r="J38" s="323">
        <v>33.250500000000002</v>
      </c>
      <c r="K38" s="323">
        <v>5057.6084570322582</v>
      </c>
      <c r="L38" s="323">
        <v>2844.5266451612906</v>
      </c>
      <c r="M38" s="331" t="s">
        <v>4360</v>
      </c>
      <c r="N38" s="331" t="s">
        <v>4409</v>
      </c>
      <c r="O38" s="331" t="s">
        <v>4465</v>
      </c>
      <c r="P38" s="331" t="s">
        <v>4555</v>
      </c>
      <c r="Q38" s="362" t="s">
        <v>4203</v>
      </c>
      <c r="R38" s="487" t="s">
        <v>4866</v>
      </c>
      <c r="S38" s="286">
        <v>2500</v>
      </c>
      <c r="T38" s="286">
        <v>2500</v>
      </c>
      <c r="U38" s="429">
        <v>2500</v>
      </c>
      <c r="V38" s="429">
        <v>700</v>
      </c>
      <c r="AA38" s="331" t="s">
        <v>4369</v>
      </c>
      <c r="AB38" s="331" t="s">
        <v>4167</v>
      </c>
      <c r="AH38" s="352" t="s">
        <v>4714</v>
      </c>
      <c r="AI38" s="351" t="s">
        <v>4276</v>
      </c>
    </row>
    <row r="39" spans="1:35">
      <c r="A39" s="577"/>
      <c r="B39" s="330" t="str">
        <f t="shared" si="0"/>
        <v>Verona champagne - maximum profile length 2500 mm</v>
      </c>
      <c r="C39" s="323">
        <f t="shared" si="1"/>
        <v>14.475571579401201</v>
      </c>
      <c r="D39" s="323">
        <f t="shared" si="2"/>
        <v>7.3270562874251493</v>
      </c>
      <c r="E39" s="323">
        <v>418.83214838400011</v>
      </c>
      <c r="F39" s="323">
        <v>211.47318000000001</v>
      </c>
      <c r="G39" s="323">
        <v>14.475571579401201</v>
      </c>
      <c r="H39" s="323">
        <v>7.3270562874251493</v>
      </c>
      <c r="I39" s="323">
        <v>56.687572656000007</v>
      </c>
      <c r="J39" s="323">
        <v>33.250500000000002</v>
      </c>
      <c r="K39" s="323">
        <v>5281.8732720000016</v>
      </c>
      <c r="L39" s="323">
        <v>2844.5266451612906</v>
      </c>
      <c r="M39" s="331" t="s">
        <v>4361</v>
      </c>
      <c r="N39" s="331" t="s">
        <v>4410</v>
      </c>
      <c r="O39" s="331" t="s">
        <v>4466</v>
      </c>
      <c r="P39" s="331" t="s">
        <v>4556</v>
      </c>
      <c r="Q39" s="362" t="s">
        <v>4086</v>
      </c>
      <c r="R39" s="487" t="s">
        <v>4867</v>
      </c>
      <c r="S39" s="286">
        <v>2500</v>
      </c>
      <c r="T39" s="286">
        <v>2500</v>
      </c>
      <c r="U39" s="429">
        <v>2500</v>
      </c>
      <c r="V39" s="429">
        <v>700</v>
      </c>
      <c r="AA39" s="331" t="s">
        <v>4370</v>
      </c>
      <c r="AB39" s="331" t="s">
        <v>4216</v>
      </c>
      <c r="AH39" s="352" t="s">
        <v>4715</v>
      </c>
      <c r="AI39" s="351" t="s">
        <v>4277</v>
      </c>
    </row>
    <row r="40" spans="1:35">
      <c r="A40" s="577"/>
      <c r="B40" s="330" t="str">
        <f t="shared" si="0"/>
        <v>Verona dark stainless steel brushed - maximum profile length 2500 mm</v>
      </c>
      <c r="C40" s="323">
        <f t="shared" si="1"/>
        <v>17.705566459401197</v>
      </c>
      <c r="D40" s="323">
        <f t="shared" si="2"/>
        <v>7.3270562874251493</v>
      </c>
      <c r="E40" s="323">
        <v>512.287918848</v>
      </c>
      <c r="F40" s="323">
        <v>211.47318000000001</v>
      </c>
      <c r="G40" s="323">
        <v>17.705566459401197</v>
      </c>
      <c r="H40" s="323">
        <v>7.3270562874251493</v>
      </c>
      <c r="I40" s="323">
        <v>69.336508032000012</v>
      </c>
      <c r="J40" s="323">
        <v>33.250500000000002</v>
      </c>
      <c r="K40" s="323">
        <v>6460.4397646451625</v>
      </c>
      <c r="L40" s="323">
        <v>2844.5266451612906</v>
      </c>
      <c r="M40" s="332" t="s">
        <v>4362</v>
      </c>
      <c r="N40" s="332" t="s">
        <v>4411</v>
      </c>
      <c r="O40" s="331" t="s">
        <v>4467</v>
      </c>
      <c r="P40" s="332" t="s">
        <v>4557</v>
      </c>
      <c r="Q40" s="362" t="s">
        <v>4204</v>
      </c>
      <c r="R40" s="487" t="s">
        <v>4868</v>
      </c>
      <c r="S40" s="286">
        <v>2500</v>
      </c>
      <c r="T40" s="286">
        <v>2500</v>
      </c>
      <c r="U40" s="429">
        <v>2500</v>
      </c>
      <c r="V40" s="429">
        <v>700</v>
      </c>
      <c r="AA40" s="407" t="s">
        <v>4371</v>
      </c>
      <c r="AB40" s="362" t="s">
        <v>4214</v>
      </c>
      <c r="AH40" s="352" t="s">
        <v>44</v>
      </c>
      <c r="AI40" s="351" t="s">
        <v>44</v>
      </c>
    </row>
    <row r="41" spans="1:35">
      <c r="A41" s="577"/>
      <c r="B41" s="330" t="str">
        <f t="shared" si="0"/>
        <v>Verona light stainless steel (Acier grata) - maximum profile length 2500 mm</v>
      </c>
      <c r="C41" s="323">
        <f t="shared" si="1"/>
        <v>17.894144004790419</v>
      </c>
      <c r="D41" s="323">
        <f t="shared" si="2"/>
        <v>7.3270562874251493</v>
      </c>
      <c r="E41" s="323">
        <v>517.74416891999999</v>
      </c>
      <c r="F41" s="323">
        <v>211.47318000000001</v>
      </c>
      <c r="G41" s="323">
        <v>17.894144004790419</v>
      </c>
      <c r="H41" s="323">
        <v>7.3270562874251493</v>
      </c>
      <c r="I41" s="323">
        <v>70.07499378</v>
      </c>
      <c r="J41" s="323">
        <v>33.250500000000002</v>
      </c>
      <c r="K41" s="323">
        <v>6529.2482874193556</v>
      </c>
      <c r="L41" s="323">
        <v>2844.5266451612906</v>
      </c>
      <c r="M41" s="332" t="s">
        <v>4363</v>
      </c>
      <c r="N41" s="332" t="s">
        <v>4412</v>
      </c>
      <c r="O41" s="331" t="s">
        <v>4468</v>
      </c>
      <c r="P41" s="332" t="s">
        <v>4558</v>
      </c>
      <c r="Q41" s="362" t="s">
        <v>4205</v>
      </c>
      <c r="R41" s="487" t="s">
        <v>4869</v>
      </c>
      <c r="S41" s="286">
        <v>2500</v>
      </c>
      <c r="T41" s="286">
        <v>2500</v>
      </c>
      <c r="U41" s="429">
        <v>2500</v>
      </c>
      <c r="V41" s="429">
        <v>700</v>
      </c>
      <c r="AA41" s="407" t="s">
        <v>4512</v>
      </c>
      <c r="AB41" s="362" t="s">
        <v>4168</v>
      </c>
      <c r="AH41" s="352" t="s">
        <v>45</v>
      </c>
      <c r="AI41" s="351" t="s">
        <v>45</v>
      </c>
    </row>
    <row r="42" spans="1:35">
      <c r="A42" s="577"/>
      <c r="B42" s="330" t="str">
        <f t="shared" si="0"/>
        <v>Rocca black matt - maximum profile length 2150 mm</v>
      </c>
      <c r="C42" s="323">
        <f t="shared" si="1"/>
        <v>25.319033718035932</v>
      </c>
      <c r="D42" s="323">
        <f t="shared" si="2"/>
        <v>7.0414706586826341</v>
      </c>
      <c r="E42" s="323">
        <v>732.57385582079996</v>
      </c>
      <c r="F42" s="323">
        <v>203.23061999999999</v>
      </c>
      <c r="G42" s="323">
        <v>25.319033718035932</v>
      </c>
      <c r="H42" s="323">
        <v>7.0414706586826341</v>
      </c>
      <c r="I42" s="323">
        <v>99.151495027199985</v>
      </c>
      <c r="J42" s="323">
        <v>31.954500000000003</v>
      </c>
      <c r="K42" s="323">
        <v>9238.4557483354856</v>
      </c>
      <c r="L42" s="323">
        <v>2733.655935483871</v>
      </c>
      <c r="M42" s="330" t="s">
        <v>4364</v>
      </c>
      <c r="N42" s="332" t="s">
        <v>4413</v>
      </c>
      <c r="O42" s="331" t="s">
        <v>4469</v>
      </c>
      <c r="P42" s="332" t="s">
        <v>4559</v>
      </c>
      <c r="Q42" s="362" t="s">
        <v>3597</v>
      </c>
      <c r="R42" s="487" t="s">
        <v>4870</v>
      </c>
      <c r="S42" s="286">
        <v>2150</v>
      </c>
      <c r="T42" s="286">
        <v>2150</v>
      </c>
      <c r="U42" s="429">
        <v>2150</v>
      </c>
      <c r="V42" s="429">
        <v>700</v>
      </c>
      <c r="AA42" s="331" t="s">
        <v>4372</v>
      </c>
      <c r="AB42" s="331" t="s">
        <v>4169</v>
      </c>
      <c r="AH42" s="352" t="s">
        <v>4716</v>
      </c>
      <c r="AI42" s="351" t="s">
        <v>4278</v>
      </c>
    </row>
    <row r="43" spans="1:35">
      <c r="A43" s="577"/>
      <c r="B43" s="330" t="str">
        <f t="shared" si="0"/>
        <v>Vivaro (elox.) - maximum profile length 2500 mm</v>
      </c>
      <c r="C43" s="323">
        <f t="shared" si="1"/>
        <v>18.503164282634732</v>
      </c>
      <c r="D43" s="323">
        <f t="shared" si="2"/>
        <v>9.1744383233532911</v>
      </c>
      <c r="E43" s="323">
        <v>535.36539168000002</v>
      </c>
      <c r="F43" s="323">
        <v>264.79223999999994</v>
      </c>
      <c r="G43" s="323">
        <v>18.503164282634732</v>
      </c>
      <c r="H43" s="323">
        <v>9.1744383233532911</v>
      </c>
      <c r="I43" s="323">
        <v>72.459969119999997</v>
      </c>
      <c r="J43" s="323">
        <v>41.633999999999993</v>
      </c>
      <c r="K43" s="323">
        <v>6751.468730322581</v>
      </c>
      <c r="L43" s="323">
        <v>3561.7215483870959</v>
      </c>
      <c r="M43" s="332" t="s">
        <v>4365</v>
      </c>
      <c r="N43" s="332" t="s">
        <v>4414</v>
      </c>
      <c r="O43" s="331" t="s">
        <v>4470</v>
      </c>
      <c r="P43" s="332" t="s">
        <v>4560</v>
      </c>
      <c r="Q43" s="362" t="s">
        <v>4511</v>
      </c>
      <c r="R43" s="487" t="s">
        <v>4871</v>
      </c>
      <c r="S43" s="286">
        <v>2500</v>
      </c>
      <c r="T43" s="286">
        <v>2500</v>
      </c>
      <c r="U43" s="429">
        <v>2700</v>
      </c>
      <c r="V43" s="429">
        <v>700</v>
      </c>
      <c r="AA43" s="331" t="s">
        <v>4373</v>
      </c>
      <c r="AB43" s="331" t="s">
        <v>4170</v>
      </c>
      <c r="AH43" s="352" t="s">
        <v>4717</v>
      </c>
      <c r="AI43" s="351" t="s">
        <v>4279</v>
      </c>
    </row>
    <row r="44" spans="1:35">
      <c r="A44" s="577"/>
      <c r="B44" s="330" t="str">
        <f t="shared" si="0"/>
        <v>Vivaro black matt - maximum profile length 2500 mm</v>
      </c>
      <c r="C44" s="323">
        <f t="shared" si="1"/>
        <v>24.564969140119761</v>
      </c>
      <c r="D44" s="323">
        <f t="shared" si="2"/>
        <v>9.2592215568862262</v>
      </c>
      <c r="E44" s="323">
        <v>710.75596175999999</v>
      </c>
      <c r="F44" s="323">
        <v>267.23924999999997</v>
      </c>
      <c r="G44" s="323">
        <v>24.564969140119761</v>
      </c>
      <c r="H44" s="323">
        <v>9.2592215568862262</v>
      </c>
      <c r="I44" s="323">
        <v>96.198513840000004</v>
      </c>
      <c r="J44" s="323">
        <v>42.018750000000004</v>
      </c>
      <c r="K44" s="323">
        <v>8963.3112735483883</v>
      </c>
      <c r="L44" s="323">
        <v>3594.6362903225804</v>
      </c>
      <c r="M44" s="332" t="s">
        <v>4366</v>
      </c>
      <c r="N44" s="332" t="s">
        <v>4415</v>
      </c>
      <c r="O44" s="331" t="s">
        <v>4471</v>
      </c>
      <c r="P44" s="332" t="s">
        <v>4561</v>
      </c>
      <c r="Q44" s="362" t="s">
        <v>4206</v>
      </c>
      <c r="R44" s="487" t="s">
        <v>4872</v>
      </c>
      <c r="S44" s="286">
        <v>2500</v>
      </c>
      <c r="T44" s="286">
        <v>2500</v>
      </c>
      <c r="U44" s="429">
        <v>2700</v>
      </c>
      <c r="V44" s="429">
        <v>700</v>
      </c>
      <c r="AA44" s="362" t="s">
        <v>4374</v>
      </c>
      <c r="AB44" s="362" t="s">
        <v>3601</v>
      </c>
      <c r="AH44" s="352" t="s">
        <v>42</v>
      </c>
      <c r="AI44" s="351" t="s">
        <v>42</v>
      </c>
    </row>
    <row r="45" spans="1:35">
      <c r="A45" s="577"/>
      <c r="B45" s="330" t="str">
        <f t="shared" si="0"/>
        <v>Imola gold - maximum profile length 2150 mm</v>
      </c>
      <c r="C45" s="323">
        <f t="shared" si="1"/>
        <v>35.232609772455092</v>
      </c>
      <c r="D45" s="323">
        <f t="shared" si="2"/>
        <v>9.1744383233532911</v>
      </c>
      <c r="E45" s="323">
        <v>1019.4104988</v>
      </c>
      <c r="F45" s="323">
        <v>264.79223999999994</v>
      </c>
      <c r="G45" s="323">
        <v>35.232609772455092</v>
      </c>
      <c r="H45" s="323">
        <v>9.1744383233532911</v>
      </c>
      <c r="I45" s="323">
        <v>137.97390420000002</v>
      </c>
      <c r="J45" s="323">
        <v>41.633999999999993</v>
      </c>
      <c r="K45" s="323">
        <v>12855.73967419355</v>
      </c>
      <c r="L45" s="323">
        <v>3561.7215483870959</v>
      </c>
      <c r="M45" s="422" t="s">
        <v>4367</v>
      </c>
      <c r="N45" s="333" t="s">
        <v>4416</v>
      </c>
      <c r="O45" s="362" t="s">
        <v>4472</v>
      </c>
      <c r="P45" s="331" t="s">
        <v>4562</v>
      </c>
      <c r="Q45" s="331" t="s">
        <v>4335</v>
      </c>
      <c r="R45" s="487" t="s">
        <v>4873</v>
      </c>
      <c r="S45" s="286">
        <v>2150</v>
      </c>
      <c r="T45" s="286">
        <v>2150</v>
      </c>
      <c r="U45" s="429">
        <v>2150</v>
      </c>
      <c r="V45" s="429">
        <v>700</v>
      </c>
      <c r="AA45" s="362" t="s">
        <v>4375</v>
      </c>
      <c r="AB45" s="362" t="s">
        <v>4215</v>
      </c>
      <c r="AH45" s="352" t="s">
        <v>54</v>
      </c>
      <c r="AI45" s="351" t="s">
        <v>54</v>
      </c>
    </row>
    <row r="46" spans="1:35">
      <c r="A46" s="577"/>
      <c r="B46" s="330" t="str">
        <f t="shared" si="0"/>
        <v>Vivaro dark stainless steel - maximum profile length 2500 mm</v>
      </c>
      <c r="C46" s="323">
        <f t="shared" si="1"/>
        <v>22.29674276694611</v>
      </c>
      <c r="D46" s="323">
        <f t="shared" si="2"/>
        <v>9.1744383233532911</v>
      </c>
      <c r="E46" s="323">
        <v>645.12773287200002</v>
      </c>
      <c r="F46" s="323">
        <v>264.79223999999994</v>
      </c>
      <c r="G46" s="323">
        <v>22.29674276694611</v>
      </c>
      <c r="H46" s="323">
        <v>9.1744383233532911</v>
      </c>
      <c r="I46" s="323">
        <v>87.315945947999992</v>
      </c>
      <c r="J46" s="323">
        <v>41.633999999999993</v>
      </c>
      <c r="K46" s="323">
        <v>8135.6766485806456</v>
      </c>
      <c r="L46" s="323">
        <v>3561.7215483870959</v>
      </c>
      <c r="M46" s="332" t="s">
        <v>4368</v>
      </c>
      <c r="N46" s="332" t="s">
        <v>4417</v>
      </c>
      <c r="O46" s="331" t="s">
        <v>4473</v>
      </c>
      <c r="P46" s="332" t="s">
        <v>4563</v>
      </c>
      <c r="Q46" s="362" t="s">
        <v>4207</v>
      </c>
      <c r="R46" s="487" t="s">
        <v>4874</v>
      </c>
      <c r="S46" s="286">
        <v>2500</v>
      </c>
      <c r="T46" s="286">
        <v>2500</v>
      </c>
      <c r="U46" s="429">
        <v>2700</v>
      </c>
      <c r="V46" s="429">
        <v>700</v>
      </c>
      <c r="AA46" s="362" t="s">
        <v>4376</v>
      </c>
      <c r="AB46" s="362" t="s">
        <v>4171</v>
      </c>
      <c r="AH46" s="352" t="s">
        <v>56</v>
      </c>
      <c r="AI46" s="351" t="s">
        <v>4280</v>
      </c>
    </row>
    <row r="47" spans="1:35">
      <c r="A47" s="577"/>
      <c r="B47" s="330" t="str">
        <f t="shared" si="0"/>
        <v>Vivaro white matt RAL 9003 - maximum profile length 2500 mm</v>
      </c>
      <c r="C47" s="323">
        <f t="shared" si="1"/>
        <v>35.125541935329338</v>
      </c>
      <c r="D47" s="323">
        <f t="shared" si="2"/>
        <v>9.1744383233532911</v>
      </c>
      <c r="E47" s="323">
        <v>1016.3126278799998</v>
      </c>
      <c r="F47" s="323">
        <v>264.79223999999994</v>
      </c>
      <c r="G47" s="323">
        <v>35.125541935329338</v>
      </c>
      <c r="H47" s="323">
        <v>9.1744383233532911</v>
      </c>
      <c r="I47" s="323">
        <v>137.55461742</v>
      </c>
      <c r="J47" s="323">
        <v>41.633999999999993</v>
      </c>
      <c r="K47" s="323">
        <v>12816.672564193546</v>
      </c>
      <c r="L47" s="323">
        <v>3561.7215483870959</v>
      </c>
      <c r="M47" s="331" t="s">
        <v>4369</v>
      </c>
      <c r="N47" s="331" t="s">
        <v>4418</v>
      </c>
      <c r="O47" s="331" t="s">
        <v>4474</v>
      </c>
      <c r="P47" s="331" t="s">
        <v>4564</v>
      </c>
      <c r="Q47" s="362" t="s">
        <v>4208</v>
      </c>
      <c r="R47" s="487" t="s">
        <v>4875</v>
      </c>
      <c r="S47" s="286">
        <v>2500</v>
      </c>
      <c r="T47" s="286">
        <v>2500</v>
      </c>
      <c r="U47" s="429">
        <v>2700</v>
      </c>
      <c r="V47" s="429">
        <v>700</v>
      </c>
      <c r="AA47" s="362" t="s">
        <v>4377</v>
      </c>
      <c r="AB47" s="362" t="s">
        <v>4172</v>
      </c>
      <c r="AH47" s="352" t="s">
        <v>60</v>
      </c>
      <c r="AI47" s="351" t="s">
        <v>4281</v>
      </c>
    </row>
    <row r="48" spans="1:35">
      <c r="A48" s="577"/>
      <c r="B48" s="330" t="str">
        <f t="shared" si="0"/>
        <v>Vivaro white gloss RAL 9003 - maximum profile length 2500 mm</v>
      </c>
      <c r="C48" s="323">
        <f t="shared" si="1"/>
        <v>35.125541935329338</v>
      </c>
      <c r="D48" s="323">
        <f t="shared" si="2"/>
        <v>9.1744383233532911</v>
      </c>
      <c r="E48" s="323">
        <v>1016.3126278799998</v>
      </c>
      <c r="F48" s="323">
        <v>264.79223999999994</v>
      </c>
      <c r="G48" s="323">
        <v>35.125541935329338</v>
      </c>
      <c r="H48" s="323">
        <v>9.1744383233532911</v>
      </c>
      <c r="I48" s="323">
        <v>137.55461742</v>
      </c>
      <c r="J48" s="323">
        <v>41.633999999999993</v>
      </c>
      <c r="K48" s="323">
        <v>12816.672564193546</v>
      </c>
      <c r="L48" s="323">
        <v>3561.7215483870959</v>
      </c>
      <c r="M48" s="331" t="s">
        <v>4370</v>
      </c>
      <c r="N48" s="331" t="s">
        <v>4419</v>
      </c>
      <c r="O48" s="331" t="s">
        <v>4475</v>
      </c>
      <c r="P48" s="331" t="s">
        <v>4565</v>
      </c>
      <c r="Q48" s="362" t="s">
        <v>4180</v>
      </c>
      <c r="R48" s="487" t="s">
        <v>4876</v>
      </c>
      <c r="S48" s="286">
        <v>2500</v>
      </c>
      <c r="T48" s="286">
        <v>2500</v>
      </c>
      <c r="U48" s="429">
        <v>2700</v>
      </c>
      <c r="V48" s="429">
        <v>700</v>
      </c>
      <c r="AA48" s="362" t="s">
        <v>4378</v>
      </c>
      <c r="AB48" s="362" t="s">
        <v>4173</v>
      </c>
      <c r="AH48" s="352" t="s">
        <v>69</v>
      </c>
      <c r="AI48" s="351" t="s">
        <v>4282</v>
      </c>
    </row>
    <row r="49" spans="1:37">
      <c r="A49" s="577"/>
      <c r="B49" s="330" t="str">
        <f t="shared" si="0"/>
        <v>Várna - maximum profile length 2500 mm</v>
      </c>
      <c r="C49" s="323">
        <f t="shared" si="1"/>
        <v>14.725540023952098</v>
      </c>
      <c r="D49" s="323">
        <f t="shared" si="2"/>
        <v>0</v>
      </c>
      <c r="E49" s="323">
        <v>426.06466560000007</v>
      </c>
      <c r="F49" s="323">
        <v>0</v>
      </c>
      <c r="G49" s="323">
        <v>14.725540023952098</v>
      </c>
      <c r="H49" s="323">
        <v>0</v>
      </c>
      <c r="I49" s="323">
        <v>57.666470400000009</v>
      </c>
      <c r="J49" s="323">
        <v>0</v>
      </c>
      <c r="K49" s="323">
        <v>5373.0822193548402</v>
      </c>
      <c r="L49" s="323">
        <v>0</v>
      </c>
      <c r="M49" s="407" t="s">
        <v>4371</v>
      </c>
      <c r="N49" s="331" t="s">
        <v>4420</v>
      </c>
      <c r="O49" s="362" t="s">
        <v>4476</v>
      </c>
      <c r="P49" s="331" t="s">
        <v>4566</v>
      </c>
      <c r="Q49" s="362" t="s">
        <v>4087</v>
      </c>
      <c r="R49" s="487" t="s">
        <v>4877</v>
      </c>
      <c r="S49" s="286">
        <v>2500</v>
      </c>
      <c r="T49" s="286">
        <v>2500</v>
      </c>
      <c r="U49" s="429">
        <v>1200</v>
      </c>
      <c r="V49" s="429">
        <v>700</v>
      </c>
      <c r="AA49" s="330" t="s">
        <v>4516</v>
      </c>
      <c r="AB49" s="362" t="s">
        <v>4174</v>
      </c>
      <c r="AH49" s="353" t="s">
        <v>4718</v>
      </c>
      <c r="AI49" s="353" t="s">
        <v>4283</v>
      </c>
    </row>
    <row r="50" spans="1:37">
      <c r="A50" s="577"/>
      <c r="B50" s="330" t="str">
        <f t="shared" si="0"/>
        <v>Rocca (elox.) - maximum profile length 2150 mm</v>
      </c>
      <c r="C50" s="323">
        <f t="shared" si="1"/>
        <v>16.979162991520958</v>
      </c>
      <c r="D50" s="323">
        <f t="shared" si="2"/>
        <v>7.0414706586826341</v>
      </c>
      <c r="E50" s="323">
        <v>491.2703636256</v>
      </c>
      <c r="F50" s="323">
        <v>203.23061999999999</v>
      </c>
      <c r="G50" s="323">
        <v>16.979162991520958</v>
      </c>
      <c r="H50" s="323">
        <v>7.0414706586826341</v>
      </c>
      <c r="I50" s="323">
        <v>66.491850110400009</v>
      </c>
      <c r="J50" s="323">
        <v>31.954500000000003</v>
      </c>
      <c r="K50" s="323">
        <v>6195.388326735485</v>
      </c>
      <c r="L50" s="323">
        <v>2733.655935483871</v>
      </c>
      <c r="M50" s="407" t="s">
        <v>4512</v>
      </c>
      <c r="N50" s="362" t="s">
        <v>4513</v>
      </c>
      <c r="O50" s="362" t="s">
        <v>4514</v>
      </c>
      <c r="P50" s="331" t="s">
        <v>4567</v>
      </c>
      <c r="Q50" s="362" t="s">
        <v>4515</v>
      </c>
      <c r="R50" s="487" t="s">
        <v>4878</v>
      </c>
      <c r="S50" s="286">
        <v>2150</v>
      </c>
      <c r="T50" s="286">
        <v>2150</v>
      </c>
      <c r="U50" s="429">
        <v>2150</v>
      </c>
      <c r="V50" s="429">
        <v>700</v>
      </c>
      <c r="AA50" s="330" t="s">
        <v>4520</v>
      </c>
      <c r="AB50" s="362" t="s">
        <v>4175</v>
      </c>
      <c r="AH50" s="352" t="s">
        <v>71</v>
      </c>
      <c r="AI50" s="351" t="s">
        <v>4284</v>
      </c>
    </row>
    <row r="51" spans="1:37">
      <c r="A51" s="577"/>
      <c r="B51" s="330" t="str">
        <f t="shared" si="0"/>
        <v>Předěl</v>
      </c>
      <c r="C51" s="323"/>
      <c r="D51" s="323"/>
      <c r="E51" s="423">
        <v>1365.7451303124719</v>
      </c>
      <c r="F51" s="423">
        <v>279.98393904000005</v>
      </c>
      <c r="G51" s="423">
        <v>46.553393837395696</v>
      </c>
      <c r="H51" s="423">
        <v>9.6840045323741002</v>
      </c>
      <c r="I51" s="423">
        <v>199.68128812800003</v>
      </c>
      <c r="J51" s="423">
        <v>42.3683136</v>
      </c>
      <c r="K51" s="423">
        <v>18261.972828358434</v>
      </c>
      <c r="L51" s="423">
        <v>3483.29711790393</v>
      </c>
      <c r="M51" s="362" t="s">
        <v>2171</v>
      </c>
      <c r="N51" s="362" t="s">
        <v>2171</v>
      </c>
      <c r="O51" s="362" t="s">
        <v>2171</v>
      </c>
      <c r="P51" s="331" t="s">
        <v>2171</v>
      </c>
      <c r="Q51" s="362" t="s">
        <v>2171</v>
      </c>
      <c r="R51" s="487"/>
      <c r="AA51" s="338" t="s">
        <v>4379</v>
      </c>
      <c r="AB51" s="338" t="s">
        <v>4176</v>
      </c>
      <c r="AH51" s="352" t="s">
        <v>70</v>
      </c>
      <c r="AI51" s="351" t="s">
        <v>4285</v>
      </c>
    </row>
    <row r="52" spans="1:37">
      <c r="A52" s="577"/>
      <c r="B52" s="330" t="str">
        <f t="shared" si="0"/>
        <v>Pisa white matt RAL 9003 - maximum profile length 2500 mm</v>
      </c>
      <c r="C52" s="323">
        <f t="shared" si="1"/>
        <v>31.757702011976054</v>
      </c>
      <c r="D52" s="323">
        <f t="shared" si="2"/>
        <v>9.1744383233532911</v>
      </c>
      <c r="E52" s="323">
        <v>918.86848740000016</v>
      </c>
      <c r="F52" s="323">
        <v>264.79223999999994</v>
      </c>
      <c r="G52" s="323">
        <v>31.757702011976054</v>
      </c>
      <c r="H52" s="323">
        <v>9.1744383233532911</v>
      </c>
      <c r="I52" s="323">
        <v>124.3658691</v>
      </c>
      <c r="J52" s="323">
        <v>41.633999999999993</v>
      </c>
      <c r="K52" s="323">
        <v>11587.808917741937</v>
      </c>
      <c r="L52" s="323">
        <v>3561.7215483870959</v>
      </c>
      <c r="M52" s="331" t="s">
        <v>4372</v>
      </c>
      <c r="N52" s="331" t="s">
        <v>4421</v>
      </c>
      <c r="O52" s="331" t="s">
        <v>4477</v>
      </c>
      <c r="P52" s="331" t="s">
        <v>4568</v>
      </c>
      <c r="Q52" s="362" t="s">
        <v>4209</v>
      </c>
      <c r="R52" s="487" t="s">
        <v>4879</v>
      </c>
      <c r="S52" s="286">
        <v>2500</v>
      </c>
      <c r="T52" s="286">
        <v>2500</v>
      </c>
      <c r="U52" s="429">
        <v>2700</v>
      </c>
      <c r="V52" s="429">
        <v>700</v>
      </c>
      <c r="AA52" s="338" t="s">
        <v>4380</v>
      </c>
      <c r="AB52" s="338" t="s">
        <v>4177</v>
      </c>
      <c r="AH52" s="351" t="s">
        <v>676</v>
      </c>
      <c r="AI52" s="351" t="s">
        <v>677</v>
      </c>
    </row>
    <row r="53" spans="1:37">
      <c r="A53" s="577"/>
      <c r="B53" s="330" t="str">
        <f t="shared" si="0"/>
        <v>Pisa white gloss RAL 9003 - maximum profile length 2500 mm</v>
      </c>
      <c r="C53" s="323">
        <f t="shared" si="1"/>
        <v>31.757702011976054</v>
      </c>
      <c r="D53" s="323">
        <f t="shared" si="2"/>
        <v>9.1744383233532911</v>
      </c>
      <c r="E53" s="323">
        <v>918.86848740000016</v>
      </c>
      <c r="F53" s="323">
        <v>264.79223999999994</v>
      </c>
      <c r="G53" s="323">
        <v>31.757702011976054</v>
      </c>
      <c r="H53" s="323">
        <v>9.1744383233532911</v>
      </c>
      <c r="I53" s="323">
        <v>124.3658691</v>
      </c>
      <c r="J53" s="323">
        <v>41.633999999999993</v>
      </c>
      <c r="K53" s="323">
        <v>11587.808917741937</v>
      </c>
      <c r="L53" s="323">
        <v>3561.7215483870959</v>
      </c>
      <c r="M53" s="331" t="s">
        <v>4373</v>
      </c>
      <c r="N53" s="331" t="s">
        <v>4422</v>
      </c>
      <c r="O53" s="331" t="s">
        <v>4478</v>
      </c>
      <c r="P53" s="331" t="s">
        <v>4569</v>
      </c>
      <c r="Q53" s="362" t="s">
        <v>4210</v>
      </c>
      <c r="R53" s="487" t="s">
        <v>4880</v>
      </c>
      <c r="S53" s="286">
        <v>2500</v>
      </c>
      <c r="T53" s="286">
        <v>2500</v>
      </c>
      <c r="U53" s="429">
        <v>2700</v>
      </c>
      <c r="V53" s="429">
        <v>700</v>
      </c>
      <c r="AA53" s="338" t="s">
        <v>4381</v>
      </c>
      <c r="AB53" s="338" t="s">
        <v>4178</v>
      </c>
      <c r="AH53" s="351" t="s">
        <v>919</v>
      </c>
      <c r="AI53" s="351" t="s">
        <v>4244</v>
      </c>
    </row>
    <row r="54" spans="1:37">
      <c r="A54" s="577"/>
      <c r="B54" s="330" t="str">
        <f t="shared" si="0"/>
        <v>Varna black - maximum profile length 1200 mm</v>
      </c>
      <c r="C54" s="323">
        <f t="shared" si="1"/>
        <v>21.023137724550896</v>
      </c>
      <c r="D54" s="323">
        <f t="shared" si="2"/>
        <v>0</v>
      </c>
      <c r="E54" s="323">
        <v>608.27760000000001</v>
      </c>
      <c r="F54" s="323">
        <v>0</v>
      </c>
      <c r="G54" s="323">
        <v>21.023137724550896</v>
      </c>
      <c r="H54" s="323">
        <v>0</v>
      </c>
      <c r="I54" s="323">
        <v>82.328400000000002</v>
      </c>
      <c r="J54" s="323">
        <v>0</v>
      </c>
      <c r="K54" s="323">
        <v>7670.9612903225816</v>
      </c>
      <c r="L54" s="323">
        <v>0</v>
      </c>
      <c r="M54" s="362" t="s">
        <v>4374</v>
      </c>
      <c r="N54" s="331" t="s">
        <v>4423</v>
      </c>
      <c r="O54" s="362" t="s">
        <v>4479</v>
      </c>
      <c r="P54" s="331" t="s">
        <v>4570</v>
      </c>
      <c r="Q54" s="362" t="s">
        <v>3598</v>
      </c>
      <c r="R54" s="487" t="s">
        <v>4881</v>
      </c>
      <c r="S54" s="286">
        <v>1200</v>
      </c>
      <c r="T54" s="286">
        <v>1200</v>
      </c>
      <c r="U54" s="429">
        <v>1200</v>
      </c>
      <c r="V54" s="429">
        <v>700</v>
      </c>
      <c r="AA54" s="338" t="s">
        <v>4382</v>
      </c>
      <c r="AB54" s="338" t="s">
        <v>3632</v>
      </c>
      <c r="AH54" s="351" t="s">
        <v>1532</v>
      </c>
      <c r="AI54" s="351" t="s">
        <v>4247</v>
      </c>
      <c r="AJ54" s="351"/>
      <c r="AK54" s="352"/>
    </row>
    <row r="55" spans="1:37">
      <c r="A55" s="577"/>
      <c r="B55" s="330" t="str">
        <f t="shared" si="0"/>
        <v>BRW arany csiszolt - maximum profile length 2500 mm</v>
      </c>
      <c r="C55" s="323">
        <f t="shared" si="1"/>
        <v>31.963845556886227</v>
      </c>
      <c r="D55" s="323">
        <f t="shared" si="2"/>
        <v>7.3270562874251493</v>
      </c>
      <c r="E55" s="323">
        <v>924.83298719999993</v>
      </c>
      <c r="F55" s="323">
        <v>211.47318000000001</v>
      </c>
      <c r="G55" s="323">
        <v>31.963845556886227</v>
      </c>
      <c r="H55" s="323">
        <v>7.3270562874251493</v>
      </c>
      <c r="I55" s="323">
        <v>125.1731448</v>
      </c>
      <c r="J55" s="323">
        <v>33.250500000000002</v>
      </c>
      <c r="K55" s="323">
        <v>11663.02695483871</v>
      </c>
      <c r="L55" s="323">
        <v>2844.5266451612906</v>
      </c>
      <c r="M55" s="362" t="s">
        <v>4375</v>
      </c>
      <c r="N55" s="331" t="s">
        <v>4424</v>
      </c>
      <c r="O55" s="362" t="s">
        <v>4480</v>
      </c>
      <c r="P55" s="331" t="s">
        <v>4571</v>
      </c>
      <c r="Q55" s="362" t="s">
        <v>4211</v>
      </c>
      <c r="R55" s="487" t="s">
        <v>4882</v>
      </c>
      <c r="S55" s="286">
        <v>2500</v>
      </c>
      <c r="T55" s="286">
        <v>2500</v>
      </c>
      <c r="U55" s="429">
        <v>2700</v>
      </c>
      <c r="V55" s="429">
        <v>700</v>
      </c>
      <c r="AA55" s="338" t="s">
        <v>4383</v>
      </c>
      <c r="AB55" s="338" t="s">
        <v>4179</v>
      </c>
      <c r="AH55" s="351" t="s">
        <v>1330</v>
      </c>
      <c r="AI55" s="351" t="s">
        <v>4248</v>
      </c>
      <c r="AJ55" s="351"/>
      <c r="AK55" s="352"/>
    </row>
    <row r="56" spans="1:37">
      <c r="A56" s="577"/>
      <c r="B56" s="330" t="str">
        <f t="shared" si="0"/>
        <v>Verona gold brushed - maximum profile length 2150 mm</v>
      </c>
      <c r="C56" s="323">
        <f t="shared" si="1"/>
        <v>29.129359300598797</v>
      </c>
      <c r="D56" s="323">
        <f t="shared" si="2"/>
        <v>7.3270562874251493</v>
      </c>
      <c r="E56" s="323">
        <v>842.82075287999987</v>
      </c>
      <c r="F56" s="323">
        <v>211.47318000000001</v>
      </c>
      <c r="G56" s="323">
        <v>29.129359300598797</v>
      </c>
      <c r="H56" s="323">
        <v>7.3270562874251493</v>
      </c>
      <c r="I56" s="323">
        <v>114.07305491999999</v>
      </c>
      <c r="J56" s="323">
        <v>33.250500000000002</v>
      </c>
      <c r="K56" s="323">
        <v>10628.774378709677</v>
      </c>
      <c r="L56" s="323">
        <v>2844.5266451612906</v>
      </c>
      <c r="M56" s="362" t="s">
        <v>4376</v>
      </c>
      <c r="N56" s="331" t="s">
        <v>4425</v>
      </c>
      <c r="O56" s="362" t="s">
        <v>4481</v>
      </c>
      <c r="P56" s="331" t="s">
        <v>4572</v>
      </c>
      <c r="Q56" s="362" t="s">
        <v>3599</v>
      </c>
      <c r="R56" s="487" t="s">
        <v>4883</v>
      </c>
      <c r="S56" s="286">
        <v>2150</v>
      </c>
      <c r="T56" s="286">
        <v>2150</v>
      </c>
      <c r="U56" s="429">
        <v>2150</v>
      </c>
      <c r="V56" s="429">
        <v>700</v>
      </c>
      <c r="AA56" s="338" t="s">
        <v>4384</v>
      </c>
      <c r="AB56" s="338" t="s">
        <v>4217</v>
      </c>
      <c r="AH56" s="351" t="s">
        <v>683</v>
      </c>
      <c r="AI56" s="351" t="s">
        <v>4256</v>
      </c>
    </row>
    <row r="57" spans="1:37">
      <c r="A57" s="577"/>
      <c r="B57" s="330" t="str">
        <f t="shared" si="0"/>
        <v>Vivaro gold brushed - maximum profile length 2150 mm</v>
      </c>
      <c r="C57" s="323">
        <f t="shared" si="1"/>
        <v>42.213125748502996</v>
      </c>
      <c r="D57" s="323">
        <f t="shared" si="2"/>
        <v>9.1744383233532911</v>
      </c>
      <c r="E57" s="323">
        <v>1221.3828000000001</v>
      </c>
      <c r="F57" s="323">
        <v>264.79223999999994</v>
      </c>
      <c r="G57" s="323">
        <v>42.213125748502996</v>
      </c>
      <c r="H57" s="323">
        <v>9.1744383233532911</v>
      </c>
      <c r="I57" s="323">
        <v>165.31020000000001</v>
      </c>
      <c r="J57" s="323">
        <v>41.633999999999993</v>
      </c>
      <c r="K57" s="323">
        <v>15402.803225806452</v>
      </c>
      <c r="L57" s="323">
        <v>3561.7215483870959</v>
      </c>
      <c r="M57" s="362" t="s">
        <v>4377</v>
      </c>
      <c r="N57" s="331" t="s">
        <v>4426</v>
      </c>
      <c r="O57" s="362" t="s">
        <v>4482</v>
      </c>
      <c r="P57" s="331" t="s">
        <v>4573</v>
      </c>
      <c r="Q57" s="362" t="s">
        <v>3600</v>
      </c>
      <c r="R57" s="487" t="s">
        <v>4884</v>
      </c>
      <c r="S57" s="286">
        <v>2150</v>
      </c>
      <c r="T57" s="286">
        <v>2150</v>
      </c>
      <c r="U57" s="429">
        <v>2150</v>
      </c>
      <c r="V57" s="429">
        <v>700</v>
      </c>
      <c r="AA57" s="331" t="s">
        <v>4385</v>
      </c>
      <c r="AB57" s="331" t="s">
        <v>4133</v>
      </c>
      <c r="AH57" s="351" t="s">
        <v>1534</v>
      </c>
      <c r="AI57" s="351" t="s">
        <v>4257</v>
      </c>
    </row>
    <row r="58" spans="1:37">
      <c r="A58" s="577"/>
      <c r="B58" s="330" t="str">
        <f t="shared" si="0"/>
        <v>Pisa gold - maximum profile length 2150 mm</v>
      </c>
      <c r="C58" s="323">
        <f t="shared" si="1"/>
        <v>29.202579885988026</v>
      </c>
      <c r="D58" s="323">
        <f t="shared" si="2"/>
        <v>9.1744383233532911</v>
      </c>
      <c r="E58" s="323">
        <v>844.93929686399997</v>
      </c>
      <c r="F58" s="323">
        <v>264.79223999999994</v>
      </c>
      <c r="G58" s="323">
        <v>29.202579885988026</v>
      </c>
      <c r="H58" s="323">
        <v>9.1744383233532911</v>
      </c>
      <c r="I58" s="323">
        <v>114.35979297599999</v>
      </c>
      <c r="J58" s="323">
        <v>41.633999999999993</v>
      </c>
      <c r="K58" s="323">
        <v>10655.491241032259</v>
      </c>
      <c r="L58" s="323">
        <v>3561.7215483870959</v>
      </c>
      <c r="M58" s="362" t="s">
        <v>4378</v>
      </c>
      <c r="N58" s="362" t="s">
        <v>4427</v>
      </c>
      <c r="O58" s="362" t="s">
        <v>4434</v>
      </c>
      <c r="P58" s="331" t="s">
        <v>4574</v>
      </c>
      <c r="Q58" s="362" t="s">
        <v>3631</v>
      </c>
      <c r="R58" s="487" t="s">
        <v>4885</v>
      </c>
      <c r="S58" s="286">
        <v>2150</v>
      </c>
      <c r="T58" s="286">
        <v>2150</v>
      </c>
      <c r="U58" s="429">
        <v>2150</v>
      </c>
      <c r="V58" s="429">
        <v>700</v>
      </c>
      <c r="AA58" s="331" t="s">
        <v>4386</v>
      </c>
      <c r="AB58" s="331" t="s">
        <v>4213</v>
      </c>
      <c r="AH58" s="351" t="s">
        <v>1528</v>
      </c>
      <c r="AI58" s="351" t="s">
        <v>4258</v>
      </c>
      <c r="AJ58" s="351"/>
      <c r="AK58" s="352"/>
    </row>
    <row r="59" spans="1:37">
      <c r="A59" s="577"/>
      <c r="B59" s="330" t="str">
        <f t="shared" si="0"/>
        <v>ASTI black matt - maximum profile length 2150 mm</v>
      </c>
      <c r="C59" s="323">
        <f t="shared" si="1"/>
        <v>24.526994011976043</v>
      </c>
      <c r="D59" s="323">
        <f t="shared" si="2"/>
        <v>7.4118395209580834</v>
      </c>
      <c r="E59" s="323">
        <v>709.65719999999999</v>
      </c>
      <c r="F59" s="323">
        <v>213.92019000000002</v>
      </c>
      <c r="G59" s="323">
        <v>24.526994011976043</v>
      </c>
      <c r="H59" s="323">
        <v>7.4118395209580834</v>
      </c>
      <c r="I59" s="323">
        <v>96.049799999999991</v>
      </c>
      <c r="J59" s="323">
        <v>33.635249999999999</v>
      </c>
      <c r="K59" s="323">
        <v>8949.4548387096784</v>
      </c>
      <c r="L59" s="323">
        <v>2877.4413870967746</v>
      </c>
      <c r="M59" s="330" t="s">
        <v>4516</v>
      </c>
      <c r="N59" s="362" t="s">
        <v>4517</v>
      </c>
      <c r="O59" s="362" t="s">
        <v>4518</v>
      </c>
      <c r="P59" s="331" t="s">
        <v>4575</v>
      </c>
      <c r="Q59" s="330" t="s">
        <v>4519</v>
      </c>
      <c r="R59" s="487" t="s">
        <v>4886</v>
      </c>
      <c r="S59" s="286">
        <v>2150</v>
      </c>
      <c r="T59" s="286">
        <v>2150</v>
      </c>
      <c r="U59" s="429">
        <v>2150</v>
      </c>
      <c r="V59" s="429">
        <v>700</v>
      </c>
      <c r="AA59" s="331" t="s">
        <v>4387</v>
      </c>
      <c r="AB59" s="331" t="s">
        <v>4134</v>
      </c>
      <c r="AH59" s="351" t="s">
        <v>4673</v>
      </c>
      <c r="AI59" s="351" t="s">
        <v>4265</v>
      </c>
      <c r="AJ59" s="351"/>
      <c r="AK59" s="352"/>
    </row>
    <row r="60" spans="1:37">
      <c r="A60" s="577"/>
      <c r="B60" s="330" t="str">
        <f t="shared" si="0"/>
        <v>ASTI anthracite RAL 7021 matt - maximum profile length 2500 mm</v>
      </c>
      <c r="C60" s="323">
        <f t="shared" si="1"/>
        <v>36.405066826347309</v>
      </c>
      <c r="D60" s="323">
        <f t="shared" si="2"/>
        <v>7.4118395209580834</v>
      </c>
      <c r="E60" s="323">
        <v>1053.3340439999999</v>
      </c>
      <c r="F60" s="323">
        <v>213.92019000000002</v>
      </c>
      <c r="G60" s="323">
        <v>36.405066826347309</v>
      </c>
      <c r="H60" s="323">
        <v>7.4118395209580834</v>
      </c>
      <c r="I60" s="323">
        <v>142.56534599999998</v>
      </c>
      <c r="J60" s="323">
        <v>33.635249999999999</v>
      </c>
      <c r="K60" s="323">
        <v>13283.547967741937</v>
      </c>
      <c r="L60" s="323">
        <v>2877.4413870967746</v>
      </c>
      <c r="M60" s="330" t="s">
        <v>4520</v>
      </c>
      <c r="N60" s="330" t="s">
        <v>4521</v>
      </c>
      <c r="O60" s="362" t="s">
        <v>4522</v>
      </c>
      <c r="P60" s="330" t="s">
        <v>4576</v>
      </c>
      <c r="Q60" s="330" t="s">
        <v>4523</v>
      </c>
      <c r="R60" s="487" t="s">
        <v>4887</v>
      </c>
      <c r="S60" s="286">
        <v>2500</v>
      </c>
      <c r="T60" s="286">
        <v>2500</v>
      </c>
      <c r="U60" s="429">
        <v>2500</v>
      </c>
      <c r="V60" s="429">
        <v>700</v>
      </c>
      <c r="AA60" s="331" t="s">
        <v>4484</v>
      </c>
      <c r="AB60" s="331" t="s">
        <v>4135</v>
      </c>
      <c r="AH60" s="351" t="s">
        <v>4742</v>
      </c>
      <c r="AI60" s="351" t="s">
        <v>4268</v>
      </c>
      <c r="AJ60" s="351"/>
      <c r="AK60" s="352"/>
    </row>
    <row r="61" spans="1:37">
      <c r="A61" s="577"/>
      <c r="AA61" s="331" t="s">
        <v>4388</v>
      </c>
      <c r="AB61" s="331" t="s">
        <v>4136</v>
      </c>
      <c r="AH61" s="351" t="s">
        <v>4743</v>
      </c>
      <c r="AI61" s="351" t="s">
        <v>4269</v>
      </c>
      <c r="AJ61" s="351"/>
      <c r="AK61" s="352"/>
    </row>
    <row r="62" spans="1:37">
      <c r="A62" s="577"/>
      <c r="AA62" s="332" t="s">
        <v>4389</v>
      </c>
      <c r="AB62" s="331" t="s">
        <v>4137</v>
      </c>
      <c r="AC62" s="365"/>
      <c r="AD62" s="168"/>
      <c r="AH62" s="352" t="s">
        <v>4744</v>
      </c>
      <c r="AI62" s="351" t="s">
        <v>4276</v>
      </c>
    </row>
    <row r="63" spans="1:37" ht="15.75" thickBot="1">
      <c r="A63" s="578"/>
      <c r="AA63" s="332" t="s">
        <v>4390</v>
      </c>
      <c r="AB63" s="331" t="s">
        <v>4138</v>
      </c>
      <c r="AC63" s="365"/>
      <c r="AD63" s="168"/>
      <c r="AH63" s="352" t="s">
        <v>4745</v>
      </c>
      <c r="AI63" s="351" t="s">
        <v>4277</v>
      </c>
    </row>
    <row r="64" spans="1:37">
      <c r="A64" s="360"/>
      <c r="AA64" s="333" t="s">
        <v>4591</v>
      </c>
      <c r="AB64" s="332" t="s">
        <v>2571</v>
      </c>
      <c r="AH64" s="352" t="s">
        <v>4674</v>
      </c>
      <c r="AI64" s="351" t="s">
        <v>4278</v>
      </c>
    </row>
    <row r="65" spans="1:35">
      <c r="A65" s="360"/>
      <c r="AA65" s="332" t="s">
        <v>4391</v>
      </c>
      <c r="AB65" s="331" t="s">
        <v>4139</v>
      </c>
      <c r="AH65" s="352" t="s">
        <v>4675</v>
      </c>
      <c r="AI65" s="351" t="s">
        <v>4279</v>
      </c>
    </row>
    <row r="66" spans="1:35">
      <c r="A66" s="360"/>
      <c r="B66" s="361"/>
      <c r="C66" s="287"/>
      <c r="D66" s="287"/>
      <c r="E66" s="287"/>
      <c r="F66" s="287"/>
      <c r="G66" s="287"/>
      <c r="H66" s="287"/>
      <c r="I66" s="287"/>
      <c r="J66" s="287"/>
      <c r="K66" s="287"/>
      <c r="L66" s="287"/>
      <c r="M66" s="338"/>
      <c r="N66" s="366"/>
      <c r="O66" s="365"/>
      <c r="P66" s="168"/>
      <c r="Q66" s="365"/>
      <c r="AA66" s="332" t="s">
        <v>4392</v>
      </c>
      <c r="AB66" s="331" t="s">
        <v>4140</v>
      </c>
      <c r="AH66" s="352" t="s">
        <v>509</v>
      </c>
      <c r="AI66" s="351" t="s">
        <v>4282</v>
      </c>
    </row>
    <row r="67" spans="1:35">
      <c r="A67" s="360"/>
      <c r="B67" s="361"/>
      <c r="C67" s="287"/>
      <c r="D67" s="287"/>
      <c r="E67" s="287"/>
      <c r="F67" s="287"/>
      <c r="G67" s="287"/>
      <c r="H67" s="287"/>
      <c r="I67" s="287"/>
      <c r="J67" s="287"/>
      <c r="K67" s="287"/>
      <c r="L67" s="287" t="s">
        <v>643</v>
      </c>
      <c r="M67" s="338"/>
      <c r="N67" s="366"/>
      <c r="O67" s="365"/>
      <c r="P67" s="168"/>
      <c r="Q67" s="365"/>
      <c r="AA67" s="332" t="s">
        <v>4393</v>
      </c>
      <c r="AB67" s="331" t="s">
        <v>4141</v>
      </c>
      <c r="AH67" s="352" t="s">
        <v>511</v>
      </c>
      <c r="AI67" s="351" t="s">
        <v>4284</v>
      </c>
    </row>
    <row r="68" spans="1:35">
      <c r="A68" s="360"/>
      <c r="B68" s="361"/>
      <c r="C68" s="287"/>
      <c r="D68" s="287"/>
      <c r="E68" s="287"/>
      <c r="F68" s="287"/>
      <c r="G68" s="287"/>
      <c r="H68" s="287"/>
      <c r="I68" s="287"/>
      <c r="J68" s="287"/>
      <c r="K68" s="287"/>
      <c r="L68" s="287"/>
      <c r="M68" s="338"/>
      <c r="N68" s="366"/>
      <c r="O68" s="365"/>
      <c r="P68" s="168"/>
      <c r="Q68" s="365"/>
      <c r="AA68" s="332" t="s">
        <v>4488</v>
      </c>
      <c r="AB68" s="331" t="s">
        <v>956</v>
      </c>
      <c r="AH68" s="352" t="s">
        <v>1542</v>
      </c>
      <c r="AI68" s="351" t="s">
        <v>4285</v>
      </c>
    </row>
    <row r="69" spans="1:35">
      <c r="A69" s="360"/>
      <c r="B69" s="330" t="str">
        <f t="shared" ref="B69:B74" si="3">IF($D$1=1,M69,
IF($D$1=2,N69,
IF($D$1=3,O69,
IF($D$1=4,P69,
IF($D$1=5,Q69,
IF($D$1=6,R69,0))))))</f>
        <v>BRW champagne - maximum profile length 2500 mm</v>
      </c>
      <c r="C69" s="323">
        <f t="shared" ref="C69:C74" si="4">IF($D$1=1,E69,IF(OR($D$1=2,$D$1=5,),G69,IF($D$1=3,I69,IF($D$1=4,K69,IF($D$1=6,G69*1.3,0)))))</f>
        <v>13.811867784431138</v>
      </c>
      <c r="D69" s="323">
        <f t="shared" ref="D69:D74" si="5">IF($D$1=1,F69,IF(OR($D$1=2,$D$1=5),H69,IF($D$1=3,J69,IF($D$1=4,L69,IF($D$1=6,H69*1.3,0)))))</f>
        <v>7.3270562874251493</v>
      </c>
      <c r="E69" s="323">
        <v>399.62872800000002</v>
      </c>
      <c r="F69" s="323">
        <v>211.47318000000001</v>
      </c>
      <c r="G69" s="323">
        <v>13.811867784431138</v>
      </c>
      <c r="H69" s="323">
        <v>7.3270562874251493</v>
      </c>
      <c r="I69" s="323">
        <v>54.088451999999997</v>
      </c>
      <c r="J69" s="323">
        <v>33.250500000000002</v>
      </c>
      <c r="K69" s="323">
        <v>5039.6998064516129</v>
      </c>
      <c r="L69" s="323">
        <v>2844.5266451612906</v>
      </c>
      <c r="M69" s="338" t="s">
        <v>4379</v>
      </c>
      <c r="N69" s="338" t="s">
        <v>4428</v>
      </c>
      <c r="O69" s="338" t="s">
        <v>4435</v>
      </c>
      <c r="P69" s="168" t="s">
        <v>4577</v>
      </c>
      <c r="Q69" s="338" t="s">
        <v>4088</v>
      </c>
      <c r="R69" s="487" t="s">
        <v>4888</v>
      </c>
      <c r="S69" s="286">
        <v>2500</v>
      </c>
      <c r="T69" s="286">
        <v>2500</v>
      </c>
      <c r="U69" s="429">
        <v>2700</v>
      </c>
      <c r="V69" s="429">
        <v>700</v>
      </c>
      <c r="AA69" s="332" t="s">
        <v>4492</v>
      </c>
      <c r="AB69" s="331" t="s">
        <v>4142</v>
      </c>
      <c r="AH69" s="351" t="s">
        <v>677</v>
      </c>
      <c r="AI69" s="351" t="s">
        <v>677</v>
      </c>
    </row>
    <row r="70" spans="1:35">
      <c r="A70" s="360"/>
      <c r="B70" s="330" t="str">
        <f t="shared" si="3"/>
        <v>BRW champagne light - maximum profile length 2500 mm</v>
      </c>
      <c r="C70" s="323">
        <f t="shared" si="4"/>
        <v>19.780436694610778</v>
      </c>
      <c r="D70" s="323">
        <f t="shared" si="5"/>
        <v>7.3270562874251493</v>
      </c>
      <c r="E70" s="323">
        <v>572.32163519999995</v>
      </c>
      <c r="F70" s="323">
        <v>211.47318000000001</v>
      </c>
      <c r="G70" s="323">
        <v>19.780436694610778</v>
      </c>
      <c r="H70" s="323">
        <v>7.3270562874251493</v>
      </c>
      <c r="I70" s="323">
        <v>77.461876799999999</v>
      </c>
      <c r="J70" s="323">
        <v>33.250500000000002</v>
      </c>
      <c r="K70" s="323">
        <v>7217.5222451612899</v>
      </c>
      <c r="L70" s="323">
        <v>2844.5266451612906</v>
      </c>
      <c r="M70" s="338" t="s">
        <v>4380</v>
      </c>
      <c r="N70" s="338" t="s">
        <v>4429</v>
      </c>
      <c r="O70" s="338" t="s">
        <v>4436</v>
      </c>
      <c r="P70" s="168" t="s">
        <v>4578</v>
      </c>
      <c r="Q70" s="338" t="s">
        <v>4212</v>
      </c>
      <c r="R70" s="487" t="s">
        <v>4889</v>
      </c>
      <c r="S70" s="286">
        <v>2500</v>
      </c>
      <c r="T70" s="286">
        <v>2500</v>
      </c>
      <c r="U70" s="429">
        <v>2700</v>
      </c>
      <c r="V70" s="429">
        <v>700</v>
      </c>
      <c r="AA70" s="332" t="s">
        <v>4496</v>
      </c>
      <c r="AB70" s="331" t="s">
        <v>4143</v>
      </c>
      <c r="AH70" s="351" t="s">
        <v>2096</v>
      </c>
      <c r="AI70" s="351" t="s">
        <v>2096</v>
      </c>
    </row>
    <row r="71" spans="1:35">
      <c r="A71" s="360"/>
      <c r="B71" s="330" t="str">
        <f t="shared" si="3"/>
        <v>ROMA black matt  - maximum profile length 2696 mm</v>
      </c>
      <c r="C71" s="323">
        <f t="shared" si="4"/>
        <v>29.432392814371259</v>
      </c>
      <c r="D71" s="323">
        <f t="shared" si="5"/>
        <v>20.615712574850296</v>
      </c>
      <c r="E71" s="323">
        <v>851.58864000000005</v>
      </c>
      <c r="F71" s="323">
        <v>595.00979999999993</v>
      </c>
      <c r="G71" s="323">
        <v>29.432392814371259</v>
      </c>
      <c r="H71" s="323">
        <v>20.615712574850296</v>
      </c>
      <c r="I71" s="323">
        <v>115.25976</v>
      </c>
      <c r="J71" s="323">
        <v>93.554999999999993</v>
      </c>
      <c r="K71" s="323">
        <v>10739.345806451614</v>
      </c>
      <c r="L71" s="323">
        <v>8003.4793548387088</v>
      </c>
      <c r="M71" s="338" t="s">
        <v>4381</v>
      </c>
      <c r="N71" s="338" t="s">
        <v>4430</v>
      </c>
      <c r="O71" s="338" t="s">
        <v>4437</v>
      </c>
      <c r="P71" s="338" t="s">
        <v>4579</v>
      </c>
      <c r="Q71" s="406" t="s">
        <v>4089</v>
      </c>
      <c r="R71" s="487" t="s">
        <v>4890</v>
      </c>
      <c r="S71" s="286">
        <v>2696</v>
      </c>
      <c r="T71" s="286">
        <v>2696</v>
      </c>
      <c r="U71" s="429">
        <v>2696</v>
      </c>
      <c r="V71" s="429">
        <v>700</v>
      </c>
      <c r="AA71" s="332" t="s">
        <v>4394</v>
      </c>
      <c r="AB71" s="331" t="s">
        <v>4144</v>
      </c>
      <c r="AH71" s="351" t="s">
        <v>2092</v>
      </c>
      <c r="AI71" s="351" t="s">
        <v>2092</v>
      </c>
    </row>
    <row r="72" spans="1:35">
      <c r="A72" s="360"/>
      <c r="B72" s="330" t="str">
        <f t="shared" si="3"/>
        <v>ROMA champagne matt  - maximum profile length 2696 mm</v>
      </c>
      <c r="C72" s="323">
        <f t="shared" si="4"/>
        <v>29.432392814371259</v>
      </c>
      <c r="D72" s="323">
        <f t="shared" si="5"/>
        <v>20.615712574850296</v>
      </c>
      <c r="E72" s="323">
        <v>851.58864000000005</v>
      </c>
      <c r="F72" s="323">
        <v>595.00979999999993</v>
      </c>
      <c r="G72" s="323">
        <v>29.432392814371259</v>
      </c>
      <c r="H72" s="323">
        <v>20.615712574850296</v>
      </c>
      <c r="I72" s="323">
        <v>115.25976</v>
      </c>
      <c r="J72" s="323">
        <v>93.554999999999993</v>
      </c>
      <c r="K72" s="323">
        <v>10739.345806451614</v>
      </c>
      <c r="L72" s="323">
        <v>8003.4793548387088</v>
      </c>
      <c r="M72" s="338" t="s">
        <v>4382</v>
      </c>
      <c r="N72" s="338" t="s">
        <v>4431</v>
      </c>
      <c r="O72" s="338" t="s">
        <v>4438</v>
      </c>
      <c r="P72" s="338" t="s">
        <v>4580</v>
      </c>
      <c r="Q72" s="338" t="s">
        <v>4090</v>
      </c>
      <c r="R72" s="487" t="s">
        <v>4891</v>
      </c>
      <c r="S72" s="286">
        <v>2696</v>
      </c>
      <c r="T72" s="286">
        <v>2696</v>
      </c>
      <c r="U72" s="429">
        <v>2696</v>
      </c>
      <c r="V72" s="429">
        <v>700</v>
      </c>
      <c r="AA72" s="331" t="s">
        <v>4395</v>
      </c>
      <c r="AB72" s="331" t="s">
        <v>4145</v>
      </c>
      <c r="AH72" s="351" t="s">
        <v>2097</v>
      </c>
      <c r="AI72" s="351" t="s">
        <v>2097</v>
      </c>
    </row>
    <row r="73" spans="1:35">
      <c r="A73" s="360"/>
      <c r="B73" s="330" t="str">
        <f t="shared" si="3"/>
        <v>ROMA GRIP black matt  - maximum profile length 2696 mm</v>
      </c>
      <c r="C73" s="323">
        <f t="shared" si="4"/>
        <v>29.432392814371259</v>
      </c>
      <c r="D73" s="323">
        <f t="shared" si="5"/>
        <v>20.615712574850296</v>
      </c>
      <c r="E73" s="323">
        <v>851.58864000000005</v>
      </c>
      <c r="F73" s="323">
        <v>595.00979999999993</v>
      </c>
      <c r="G73" s="323">
        <v>29.432392814371259</v>
      </c>
      <c r="H73" s="323">
        <v>20.615712574850296</v>
      </c>
      <c r="I73" s="323">
        <v>115.25976</v>
      </c>
      <c r="J73" s="323">
        <v>93.554999999999993</v>
      </c>
      <c r="K73" s="323">
        <v>10739.345806451614</v>
      </c>
      <c r="L73" s="323">
        <v>8003.4793548387088</v>
      </c>
      <c r="M73" s="338" t="s">
        <v>4383</v>
      </c>
      <c r="N73" s="338" t="s">
        <v>4432</v>
      </c>
      <c r="O73" s="338" t="s">
        <v>4439</v>
      </c>
      <c r="P73" s="338" t="s">
        <v>4581</v>
      </c>
      <c r="Q73" s="374" t="s">
        <v>4091</v>
      </c>
      <c r="R73" s="487" t="s">
        <v>4892</v>
      </c>
      <c r="S73" s="286">
        <v>2696</v>
      </c>
      <c r="T73" s="286">
        <v>2696</v>
      </c>
      <c r="U73" s="429">
        <v>2696</v>
      </c>
      <c r="V73" s="429">
        <v>700</v>
      </c>
      <c r="AA73" s="332" t="s">
        <v>4396</v>
      </c>
      <c r="AB73" s="331" t="s">
        <v>4146</v>
      </c>
      <c r="AH73" s="351" t="s">
        <v>920</v>
      </c>
      <c r="AI73" s="351" t="s">
        <v>4244</v>
      </c>
    </row>
    <row r="74" spans="1:35">
      <c r="A74" s="360"/>
      <c r="B74" s="330" t="str">
        <f t="shared" si="3"/>
        <v>ROMA GRIP champagne matt  - maximum profile length 2696 mm</v>
      </c>
      <c r="C74" s="323">
        <f t="shared" si="4"/>
        <v>29.432392814371259</v>
      </c>
      <c r="D74" s="323">
        <f t="shared" si="5"/>
        <v>20.615712574850296</v>
      </c>
      <c r="E74" s="323">
        <v>851.58864000000005</v>
      </c>
      <c r="F74" s="323">
        <v>595.00979999999993</v>
      </c>
      <c r="G74" s="323">
        <v>29.432392814371259</v>
      </c>
      <c r="H74" s="323">
        <v>20.615712574850296</v>
      </c>
      <c r="I74" s="323">
        <v>115.25976</v>
      </c>
      <c r="J74" s="323">
        <v>93.554999999999993</v>
      </c>
      <c r="K74" s="323">
        <v>10739.345806451614</v>
      </c>
      <c r="L74" s="323">
        <v>8003.4793548387088</v>
      </c>
      <c r="M74" s="338" t="s">
        <v>4384</v>
      </c>
      <c r="N74" s="338" t="s">
        <v>4433</v>
      </c>
      <c r="O74" s="338" t="s">
        <v>4440</v>
      </c>
      <c r="P74" s="338" t="s">
        <v>4582</v>
      </c>
      <c r="Q74" s="338" t="s">
        <v>4092</v>
      </c>
      <c r="R74" s="487" t="s">
        <v>4893</v>
      </c>
      <c r="S74" s="286">
        <v>2696</v>
      </c>
      <c r="T74" s="286">
        <v>2696</v>
      </c>
      <c r="U74" s="429">
        <v>2696</v>
      </c>
      <c r="V74" s="429">
        <v>700</v>
      </c>
      <c r="AA74" s="332" t="s">
        <v>4397</v>
      </c>
      <c r="AB74" s="331" t="s">
        <v>4147</v>
      </c>
      <c r="AH74" s="351" t="s">
        <v>1535</v>
      </c>
      <c r="AI74" s="351" t="s">
        <v>4247</v>
      </c>
    </row>
    <row r="75" spans="1:35">
      <c r="B75" s="335"/>
      <c r="C75" s="287"/>
      <c r="D75" s="287"/>
      <c r="E75" s="287"/>
      <c r="F75" s="287"/>
      <c r="G75" s="336"/>
      <c r="H75" s="336"/>
      <c r="I75" s="336"/>
      <c r="J75" s="336"/>
      <c r="K75" s="337"/>
      <c r="L75" s="337"/>
      <c r="M75" s="334"/>
      <c r="N75" s="334"/>
      <c r="O75" s="338"/>
      <c r="P75" s="334"/>
      <c r="AA75" s="333" t="s">
        <v>4500</v>
      </c>
      <c r="AB75" s="332" t="s">
        <v>4148</v>
      </c>
      <c r="AH75" s="351" t="s">
        <v>1536</v>
      </c>
      <c r="AI75" s="351" t="s">
        <v>4251</v>
      </c>
    </row>
    <row r="76" spans="1:35" ht="15.75" thickBot="1">
      <c r="B76" s="335"/>
      <c r="C76" s="287" t="s">
        <v>2165</v>
      </c>
      <c r="D76" s="287" t="s">
        <v>2166</v>
      </c>
      <c r="E76" s="287"/>
      <c r="F76" s="287"/>
      <c r="G76" s="336"/>
      <c r="H76" s="336"/>
      <c r="I76" s="336"/>
      <c r="J76" s="336"/>
      <c r="K76" s="337"/>
      <c r="L76" s="337"/>
      <c r="M76" s="334"/>
      <c r="N76" s="334"/>
      <c r="O76" s="338"/>
      <c r="P76" s="334"/>
      <c r="AA76" s="331" t="s">
        <v>4398</v>
      </c>
      <c r="AB76" s="331" t="s">
        <v>4149</v>
      </c>
      <c r="AH76" s="351" t="s">
        <v>4746</v>
      </c>
      <c r="AI76" s="351" t="s">
        <v>4254</v>
      </c>
    </row>
    <row r="77" spans="1:35" ht="15.75" thickBot="1">
      <c r="A77" s="580" t="s">
        <v>2167</v>
      </c>
      <c r="B77" s="330"/>
      <c r="C77" s="341">
        <f>$B$32</f>
        <v>0</v>
      </c>
      <c r="D77" s="342" t="str">
        <f>B49</f>
        <v>Várna - maximum profile length 2500 mm</v>
      </c>
      <c r="E77" s="287"/>
      <c r="F77" s="287"/>
      <c r="G77" s="336"/>
      <c r="H77" s="336"/>
      <c r="I77" s="336"/>
      <c r="J77" s="336"/>
      <c r="K77" s="337"/>
      <c r="L77" s="337"/>
      <c r="M77" s="334" t="s">
        <v>3418</v>
      </c>
      <c r="N77" s="334" t="s">
        <v>3421</v>
      </c>
      <c r="O77" s="338" t="s">
        <v>4093</v>
      </c>
      <c r="P77" s="334" t="s">
        <v>3431</v>
      </c>
      <c r="Q77" s="286" t="s">
        <v>3427</v>
      </c>
      <c r="R77" s="487" t="s">
        <v>4894</v>
      </c>
      <c r="S77" s="286">
        <v>2500</v>
      </c>
      <c r="T77" s="286">
        <v>2500</v>
      </c>
      <c r="U77" s="429">
        <v>2700</v>
      </c>
      <c r="V77" s="429">
        <v>700</v>
      </c>
      <c r="AA77" s="331" t="s">
        <v>4399</v>
      </c>
      <c r="AB77" s="331" t="s">
        <v>4150</v>
      </c>
      <c r="AH77" s="351" t="s">
        <v>684</v>
      </c>
      <c r="AI77" s="351" t="s">
        <v>4256</v>
      </c>
    </row>
    <row r="78" spans="1:35" ht="15.75" thickBot="1">
      <c r="A78" s="581"/>
      <c r="B78" s="330"/>
      <c r="C78" s="341">
        <f>$B$33</f>
        <v>0</v>
      </c>
      <c r="D78" s="342" t="str">
        <f>$B$54</f>
        <v>Varna black - maximum profile length 1200 mm</v>
      </c>
      <c r="M78" s="334" t="s">
        <v>2196</v>
      </c>
      <c r="N78" s="334" t="s">
        <v>2197</v>
      </c>
      <c r="O78" s="338" t="s">
        <v>4094</v>
      </c>
      <c r="P78" s="334" t="s">
        <v>2198</v>
      </c>
      <c r="Q78" s="286" t="s">
        <v>2312</v>
      </c>
      <c r="R78" s="487" t="s">
        <v>4895</v>
      </c>
      <c r="S78" s="286">
        <v>1200</v>
      </c>
      <c r="T78" s="286">
        <v>2500</v>
      </c>
      <c r="U78" s="429">
        <v>2700</v>
      </c>
      <c r="V78" s="429">
        <v>700</v>
      </c>
      <c r="AA78" s="331" t="s">
        <v>4402</v>
      </c>
      <c r="AB78" s="331" t="s">
        <v>4151</v>
      </c>
      <c r="AH78" s="351" t="s">
        <v>1537</v>
      </c>
      <c r="AI78" s="351" t="s">
        <v>4257</v>
      </c>
    </row>
    <row r="79" spans="1:35" ht="15.75" thickBot="1">
      <c r="A79" s="581"/>
      <c r="B79" s="330"/>
      <c r="C79" s="341">
        <f>$B$27</f>
        <v>0</v>
      </c>
      <c r="D79" s="342" t="str">
        <f>B49</f>
        <v>Várna - maximum profile length 2500 mm</v>
      </c>
      <c r="E79" s="287"/>
      <c r="F79" s="287"/>
      <c r="G79" s="336"/>
      <c r="H79" s="336"/>
      <c r="I79" s="336"/>
      <c r="J79" s="336"/>
      <c r="K79" s="337"/>
      <c r="L79" s="337"/>
      <c r="M79" s="334" t="s">
        <v>3419</v>
      </c>
      <c r="N79" s="334" t="s">
        <v>3422</v>
      </c>
      <c r="O79" s="338" t="s">
        <v>4095</v>
      </c>
      <c r="P79" s="334" t="s">
        <v>3432</v>
      </c>
      <c r="Q79" s="286" t="s">
        <v>3428</v>
      </c>
      <c r="R79" s="487" t="s">
        <v>4896</v>
      </c>
      <c r="S79" s="286">
        <v>2500</v>
      </c>
      <c r="T79" s="286">
        <v>2500</v>
      </c>
      <c r="U79" s="429">
        <v>2700</v>
      </c>
      <c r="V79" s="429">
        <v>700</v>
      </c>
      <c r="AA79" s="332" t="s">
        <v>4504</v>
      </c>
      <c r="AB79" s="331" t="s">
        <v>4152</v>
      </c>
      <c r="AH79" s="351" t="s">
        <v>1529</v>
      </c>
      <c r="AI79" s="351" t="s">
        <v>4258</v>
      </c>
    </row>
    <row r="80" spans="1:35" ht="15.75" thickBot="1">
      <c r="A80" s="581"/>
      <c r="B80" s="330" t="str">
        <f t="shared" ref="B80:B81" si="6">IF($D$1=1,M80,
IF($D$1=2,N80,
IF($D$1=3,O80,
IF($D$1=4,P80,
IF($D$1=5,Q80,
IF($D$1=6,R80,0))))))</f>
        <v>Rocca elox (Left and Right) + Varna elox (Top and Bottom)</v>
      </c>
      <c r="C80" s="341" t="str">
        <f>B50</f>
        <v>Rocca (elox.) - maximum profile length 2150 mm</v>
      </c>
      <c r="D80" s="428" t="str">
        <f>B49</f>
        <v>Várna - maximum profile length 2500 mm</v>
      </c>
      <c r="E80" s="287"/>
      <c r="F80" s="287"/>
      <c r="G80" s="336"/>
      <c r="H80" s="336"/>
      <c r="I80" s="336"/>
      <c r="J80" s="336"/>
      <c r="K80" s="337"/>
      <c r="L80" s="337"/>
      <c r="M80" s="334" t="s">
        <v>3420</v>
      </c>
      <c r="N80" s="334" t="s">
        <v>3423</v>
      </c>
      <c r="O80" s="338" t="s">
        <v>3429</v>
      </c>
      <c r="P80" s="334" t="s">
        <v>3433</v>
      </c>
      <c r="Q80" s="286" t="s">
        <v>3430</v>
      </c>
      <c r="R80" s="487" t="s">
        <v>4897</v>
      </c>
      <c r="S80" s="286">
        <v>2500</v>
      </c>
      <c r="T80" s="286">
        <v>2500</v>
      </c>
      <c r="U80" s="429">
        <v>2150</v>
      </c>
      <c r="V80" s="429">
        <v>700</v>
      </c>
      <c r="AA80" s="333" t="s">
        <v>4508</v>
      </c>
      <c r="AB80" s="332" t="s">
        <v>4153</v>
      </c>
      <c r="AH80" s="351" t="s">
        <v>4747</v>
      </c>
      <c r="AI80" s="351" t="s">
        <v>4259</v>
      </c>
    </row>
    <row r="81" spans="1:35" ht="15.75" thickBot="1">
      <c r="A81" s="581"/>
      <c r="B81" s="330" t="str">
        <f t="shared" si="6"/>
        <v>Rocca black (Left and right) + Varna black (Top and bottom)</v>
      </c>
      <c r="C81" s="341" t="str">
        <f>B42</f>
        <v>Rocca black matt - maximum profile length 2150 mm</v>
      </c>
      <c r="D81" s="428" t="str">
        <f>$B$54</f>
        <v>Varna black - maximum profile length 1200 mm</v>
      </c>
      <c r="E81" s="287"/>
      <c r="F81" s="287"/>
      <c r="G81" s="336"/>
      <c r="H81" s="336"/>
      <c r="I81" s="336"/>
      <c r="J81" s="336"/>
      <c r="K81" s="337"/>
      <c r="L81" s="337"/>
      <c r="M81" s="334" t="s">
        <v>2199</v>
      </c>
      <c r="N81" s="334" t="s">
        <v>2200</v>
      </c>
      <c r="O81" s="338" t="s">
        <v>2201</v>
      </c>
      <c r="P81" s="334" t="s">
        <v>2202</v>
      </c>
      <c r="Q81" s="286" t="s">
        <v>2313</v>
      </c>
      <c r="R81" s="487" t="s">
        <v>4898</v>
      </c>
      <c r="S81" s="286">
        <v>1200</v>
      </c>
      <c r="T81" s="286">
        <v>2150</v>
      </c>
      <c r="U81" s="429">
        <v>2150</v>
      </c>
      <c r="V81" s="429">
        <v>700</v>
      </c>
      <c r="AA81" s="332" t="s">
        <v>4405</v>
      </c>
      <c r="AB81" s="331" t="s">
        <v>4154</v>
      </c>
      <c r="AH81" s="351" t="s">
        <v>4748</v>
      </c>
      <c r="AI81" s="351" t="s">
        <v>3605</v>
      </c>
    </row>
    <row r="82" spans="1:35" ht="15.75" thickBot="1">
      <c r="A82" s="582"/>
      <c r="B82" s="330"/>
      <c r="C82" s="287">
        <f>$B$28</f>
        <v>0</v>
      </c>
      <c r="D82" s="287" t="str">
        <f>$B$54</f>
        <v>Varna black - maximum profile length 1200 mm</v>
      </c>
      <c r="E82" s="287"/>
      <c r="F82" s="287"/>
      <c r="G82" s="336"/>
      <c r="H82" s="336"/>
      <c r="I82" s="336"/>
      <c r="J82" s="336"/>
      <c r="K82" s="337"/>
      <c r="L82" s="337"/>
      <c r="M82" s="334" t="s">
        <v>2388</v>
      </c>
      <c r="N82" s="334" t="s">
        <v>2389</v>
      </c>
      <c r="O82" s="338" t="s">
        <v>2390</v>
      </c>
      <c r="P82" s="334" t="s">
        <v>2391</v>
      </c>
      <c r="Q82" s="286" t="s">
        <v>2392</v>
      </c>
      <c r="R82" s="487" t="s">
        <v>4899</v>
      </c>
      <c r="S82" s="286">
        <v>1200</v>
      </c>
      <c r="T82" s="286">
        <v>2500</v>
      </c>
      <c r="U82" s="429">
        <v>2700</v>
      </c>
      <c r="V82" s="429">
        <v>700</v>
      </c>
      <c r="AA82" s="332" t="s">
        <v>4406</v>
      </c>
      <c r="AB82" s="331" t="s">
        <v>4155</v>
      </c>
      <c r="AH82" s="351" t="s">
        <v>4749</v>
      </c>
      <c r="AI82" s="351" t="s">
        <v>4263</v>
      </c>
    </row>
    <row r="83" spans="1:35">
      <c r="A83" s="288"/>
      <c r="B83" s="426"/>
      <c r="C83" s="427"/>
      <c r="D83" s="427"/>
      <c r="E83" s="287"/>
      <c r="F83" s="287"/>
      <c r="G83" s="336"/>
      <c r="H83" s="336"/>
      <c r="I83" s="336"/>
      <c r="J83" s="336"/>
      <c r="K83" s="337"/>
      <c r="L83" s="337"/>
      <c r="M83" s="334"/>
      <c r="N83" s="334"/>
      <c r="O83" s="338"/>
      <c r="P83" s="334"/>
      <c r="AA83" s="332" t="s">
        <v>4407</v>
      </c>
      <c r="AB83" s="331" t="s">
        <v>4156</v>
      </c>
      <c r="AH83" s="351" t="s">
        <v>4750</v>
      </c>
      <c r="AI83" s="351" t="s">
        <v>4265</v>
      </c>
    </row>
    <row r="84" spans="1:35">
      <c r="A84" s="288"/>
      <c r="B84" s="286" t="s">
        <v>4583</v>
      </c>
      <c r="AA84" s="332" t="s">
        <v>4408</v>
      </c>
      <c r="AB84" s="331" t="s">
        <v>4157</v>
      </c>
      <c r="AH84" s="351" t="s">
        <v>4751</v>
      </c>
      <c r="AI84" s="351" t="s">
        <v>4268</v>
      </c>
    </row>
    <row r="85" spans="1:35">
      <c r="A85" s="288"/>
      <c r="B85" s="335"/>
      <c r="C85" s="335"/>
      <c r="D85" s="335"/>
      <c r="E85" s="287"/>
      <c r="F85" s="287"/>
      <c r="G85" s="336"/>
      <c r="H85" s="336"/>
      <c r="I85" s="336"/>
      <c r="J85" s="336"/>
      <c r="K85" s="337"/>
      <c r="L85" s="337"/>
      <c r="M85" s="334"/>
      <c r="N85" s="334"/>
      <c r="O85" s="338"/>
      <c r="P85" s="334"/>
      <c r="AA85" s="331" t="s">
        <v>4409</v>
      </c>
      <c r="AB85" s="331" t="s">
        <v>4158</v>
      </c>
      <c r="AH85" s="351" t="s">
        <v>4752</v>
      </c>
      <c r="AI85" s="351" t="s">
        <v>4269</v>
      </c>
    </row>
    <row r="86" spans="1:35">
      <c r="A86" s="288"/>
      <c r="AA86" s="331" t="s">
        <v>4410</v>
      </c>
      <c r="AB86" s="331" t="s">
        <v>4159</v>
      </c>
      <c r="AH86" s="351" t="s">
        <v>4753</v>
      </c>
      <c r="AI86" s="351" t="s">
        <v>4276</v>
      </c>
    </row>
    <row r="87" spans="1:35">
      <c r="A87" s="288"/>
      <c r="AA87" s="332" t="s">
        <v>4411</v>
      </c>
      <c r="AB87" s="331" t="s">
        <v>4160</v>
      </c>
      <c r="AH87" s="351" t="s">
        <v>4754</v>
      </c>
      <c r="AI87" s="351" t="s">
        <v>4277</v>
      </c>
    </row>
    <row r="88" spans="1:35">
      <c r="A88" s="288"/>
      <c r="B88" s="335"/>
      <c r="C88" s="287"/>
      <c r="D88" s="287"/>
      <c r="E88" s="287"/>
      <c r="F88" s="287"/>
      <c r="G88" s="336"/>
      <c r="H88" s="336"/>
      <c r="I88" s="336"/>
      <c r="J88" s="336"/>
      <c r="K88" s="337"/>
      <c r="L88" s="337"/>
      <c r="M88" s="334"/>
      <c r="N88" s="334"/>
      <c r="O88" s="338"/>
      <c r="P88" s="334"/>
      <c r="AA88" s="332" t="s">
        <v>4412</v>
      </c>
      <c r="AB88" s="331" t="s">
        <v>4161</v>
      </c>
      <c r="AH88" s="351" t="s">
        <v>4755</v>
      </c>
      <c r="AI88" s="351" t="s">
        <v>4278</v>
      </c>
    </row>
    <row r="89" spans="1:35">
      <c r="B89" s="335"/>
      <c r="C89" s="287"/>
      <c r="D89" s="287"/>
      <c r="E89" s="287"/>
      <c r="F89" s="287"/>
      <c r="G89" s="336"/>
      <c r="H89" s="336"/>
      <c r="I89" s="336"/>
      <c r="J89" s="336"/>
      <c r="K89" s="337"/>
      <c r="L89" s="337"/>
      <c r="M89" s="334"/>
      <c r="N89" s="334"/>
      <c r="O89" s="338"/>
      <c r="P89" s="334"/>
      <c r="AA89" s="332" t="s">
        <v>4413</v>
      </c>
      <c r="AB89" s="331" t="s">
        <v>4162</v>
      </c>
      <c r="AH89" s="351" t="s">
        <v>4756</v>
      </c>
      <c r="AI89" s="351" t="s">
        <v>4279</v>
      </c>
    </row>
    <row r="90" spans="1:35">
      <c r="B90" s="329" t="s">
        <v>25</v>
      </c>
      <c r="C90" s="324" t="s">
        <v>26</v>
      </c>
      <c r="D90" s="325"/>
      <c r="E90" s="324" t="s">
        <v>333</v>
      </c>
      <c r="F90" s="325"/>
      <c r="G90" s="324" t="s">
        <v>334</v>
      </c>
      <c r="H90" s="325"/>
      <c r="I90" s="324" t="s">
        <v>108</v>
      </c>
      <c r="J90" s="325"/>
      <c r="K90" s="324" t="s">
        <v>109</v>
      </c>
      <c r="L90" s="325"/>
      <c r="M90" s="334"/>
      <c r="N90" s="334"/>
      <c r="O90" s="338"/>
      <c r="P90" s="334"/>
      <c r="AA90" s="332" t="s">
        <v>4414</v>
      </c>
      <c r="AB90" s="331" t="s">
        <v>4163</v>
      </c>
      <c r="AH90" s="351" t="s">
        <v>506</v>
      </c>
      <c r="AI90" s="351" t="s">
        <v>4282</v>
      </c>
    </row>
    <row r="91" spans="1:35">
      <c r="B91" s="335" t="str">
        <f>B563</f>
        <v>Transparent</v>
      </c>
      <c r="C91" s="323">
        <f>IF($D$1=1,E91,IF(OR($D$1=2,$D$1=5),G91,IF($D$1=3,I91,IF($D$1=4,K91,IF($D$1=6,G91*1.3,0)))))</f>
        <v>5.1684790419161688</v>
      </c>
      <c r="E91" s="347">
        <v>148.71600000000001</v>
      </c>
      <c r="G91" s="348">
        <v>5.1684790419161688</v>
      </c>
      <c r="I91" s="348">
        <v>22.842000000000002</v>
      </c>
      <c r="K91" s="349">
        <v>2116.4516129032259</v>
      </c>
      <c r="M91" s="334"/>
      <c r="N91" s="334"/>
      <c r="O91" s="338"/>
      <c r="P91" s="334"/>
      <c r="AA91" s="332" t="s">
        <v>4415</v>
      </c>
      <c r="AB91" s="331" t="s">
        <v>4164</v>
      </c>
      <c r="AH91" s="351" t="s">
        <v>508</v>
      </c>
      <c r="AI91" s="351" t="s">
        <v>4284</v>
      </c>
    </row>
    <row r="92" spans="1:35">
      <c r="B92" s="335" t="str">
        <f>B564</f>
        <v>White</v>
      </c>
      <c r="C92" s="323">
        <f t="shared" ref="C92:C141" si="7">IF($D$1=1,E92,IF(OR($D$1=2,$D$1=5),G92,IF($D$1=3,I92,IF($D$1=4,K92,IF($D$1=6,G92*1.3,0)))))</f>
        <v>4.3070658682634742</v>
      </c>
      <c r="E92" s="347">
        <v>123.93</v>
      </c>
      <c r="G92" s="348">
        <v>4.3070658682634742</v>
      </c>
      <c r="I92" s="348">
        <v>19.035000000000004</v>
      </c>
      <c r="K92" s="348">
        <v>1763.7096774193551</v>
      </c>
      <c r="M92" s="334"/>
      <c r="N92" s="334"/>
      <c r="O92" s="338"/>
      <c r="P92" s="334"/>
      <c r="AA92" s="333" t="s">
        <v>4416</v>
      </c>
      <c r="AB92" s="362" t="s">
        <v>4165</v>
      </c>
      <c r="AH92" s="351" t="s">
        <v>1543</v>
      </c>
      <c r="AI92" s="351" t="s">
        <v>4285</v>
      </c>
    </row>
    <row r="93" spans="1:35">
      <c r="B93" s="335" t="str">
        <f>B565</f>
        <v>Black</v>
      </c>
      <c r="C93" s="323">
        <f t="shared" si="7"/>
        <v>5.1684790419161688</v>
      </c>
      <c r="E93" s="347">
        <v>148.71600000000001</v>
      </c>
      <c r="G93" s="348">
        <v>5.1684790419161688</v>
      </c>
      <c r="I93" s="348">
        <v>22.842000000000002</v>
      </c>
      <c r="K93" s="349">
        <v>2116.4516129032259</v>
      </c>
      <c r="M93" s="334"/>
      <c r="N93" s="334"/>
      <c r="O93" s="338"/>
      <c r="P93" s="334"/>
      <c r="AA93" s="332" t="s">
        <v>4417</v>
      </c>
      <c r="AB93" s="331" t="s">
        <v>4166</v>
      </c>
      <c r="AH93" s="351" t="s">
        <v>678</v>
      </c>
      <c r="AI93" s="351" t="s">
        <v>677</v>
      </c>
    </row>
    <row r="94" spans="1:35">
      <c r="B94" s="335" t="s">
        <v>2180</v>
      </c>
      <c r="C94" s="323">
        <f t="shared" si="7"/>
        <v>22.827449101796407</v>
      </c>
      <c r="D94" s="287"/>
      <c r="E94" s="287">
        <v>656.82899999999995</v>
      </c>
      <c r="G94" s="287">
        <v>22.827449101796407</v>
      </c>
      <c r="I94" s="336">
        <v>100.88550000000001</v>
      </c>
      <c r="J94" s="336"/>
      <c r="K94" s="336">
        <v>9347.6612903225796</v>
      </c>
      <c r="L94" s="337"/>
      <c r="M94" s="334"/>
      <c r="N94" s="334"/>
      <c r="O94" s="338"/>
      <c r="P94" s="334"/>
      <c r="AA94" s="331" t="s">
        <v>4418</v>
      </c>
      <c r="AB94" s="331" t="s">
        <v>4167</v>
      </c>
      <c r="AH94" s="351" t="s">
        <v>2094</v>
      </c>
      <c r="AI94" s="351" t="s">
        <v>2096</v>
      </c>
    </row>
    <row r="95" spans="1:35">
      <c r="B95" s="330" t="str">
        <f t="shared" ref="B95:B96" si="8">IF($D$1=1,M95,
IF($D$1=2,N95,
IF($D$1=3,O95,
IF($D$1=4,P95,
IF($D$1=5,Q95,
IF($D$1=6,R95,0))))))</f>
        <v>Gloss</v>
      </c>
      <c r="C95" s="323">
        <f t="shared" si="7"/>
        <v>2.2412694610778447</v>
      </c>
      <c r="E95" s="287">
        <v>64.489499999999992</v>
      </c>
      <c r="G95" s="286">
        <v>2.2412694610778447</v>
      </c>
      <c r="I95" s="336">
        <v>9.9052500000000006</v>
      </c>
      <c r="K95" s="286">
        <v>917.7822580645161</v>
      </c>
      <c r="M95" s="334" t="s">
        <v>2901</v>
      </c>
      <c r="N95" s="334" t="s">
        <v>2901</v>
      </c>
      <c r="O95" s="338" t="s">
        <v>2905</v>
      </c>
      <c r="P95" s="334" t="s">
        <v>2906</v>
      </c>
      <c r="Q95" s="286" t="s">
        <v>2903</v>
      </c>
      <c r="R95" s="487" t="s">
        <v>4900</v>
      </c>
      <c r="AA95" s="331" t="s">
        <v>4419</v>
      </c>
      <c r="AB95" s="331" t="s">
        <v>4216</v>
      </c>
      <c r="AH95" s="351" t="s">
        <v>2093</v>
      </c>
      <c r="AI95" s="351" t="s">
        <v>2092</v>
      </c>
    </row>
    <row r="96" spans="1:35">
      <c r="B96" s="330" t="str">
        <f t="shared" si="8"/>
        <v>Matt</v>
      </c>
      <c r="C96" s="323">
        <f t="shared" si="7"/>
        <v>1.4875329341317365</v>
      </c>
      <c r="E96" s="287">
        <v>42.801749999999998</v>
      </c>
      <c r="G96" s="286">
        <v>1.4875329341317365</v>
      </c>
      <c r="I96" s="336">
        <v>6.5741249999999996</v>
      </c>
      <c r="K96" s="286">
        <v>609.13306451612902</v>
      </c>
      <c r="M96" s="334" t="s">
        <v>2902</v>
      </c>
      <c r="N96" s="334" t="s">
        <v>2902</v>
      </c>
      <c r="O96" s="338" t="s">
        <v>2907</v>
      </c>
      <c r="P96" s="334" t="s">
        <v>2904</v>
      </c>
      <c r="Q96" s="286" t="s">
        <v>2904</v>
      </c>
      <c r="R96" s="487" t="s">
        <v>2902</v>
      </c>
      <c r="AA96" s="331" t="s">
        <v>4420</v>
      </c>
      <c r="AB96" s="362" t="s">
        <v>4214</v>
      </c>
      <c r="AH96" s="351" t="s">
        <v>2098</v>
      </c>
      <c r="AI96" s="351" t="s">
        <v>2097</v>
      </c>
    </row>
    <row r="97" spans="1:35">
      <c r="B97" s="335" t="s">
        <v>2181</v>
      </c>
      <c r="C97" s="323">
        <f t="shared" si="7"/>
        <v>0.85050000000000014</v>
      </c>
      <c r="E97" s="287">
        <v>23.538438000000006</v>
      </c>
      <c r="G97" s="286">
        <v>0.85050000000000014</v>
      </c>
      <c r="I97" s="336">
        <v>3.912300000000001</v>
      </c>
      <c r="K97" s="286">
        <v>311.88402000000002</v>
      </c>
      <c r="AA97" s="362" t="s">
        <v>4513</v>
      </c>
      <c r="AB97" s="362" t="s">
        <v>4168</v>
      </c>
      <c r="AH97" s="351" t="s">
        <v>930</v>
      </c>
      <c r="AI97" s="351" t="s">
        <v>4244</v>
      </c>
    </row>
    <row r="98" spans="1:35">
      <c r="B98" s="350" t="s">
        <v>6</v>
      </c>
      <c r="C98" s="584" t="s">
        <v>30</v>
      </c>
      <c r="D98" s="584"/>
      <c r="E98" s="584" t="s">
        <v>30</v>
      </c>
      <c r="F98" s="584"/>
      <c r="G98" s="584" t="s">
        <v>30</v>
      </c>
      <c r="H98" s="584"/>
      <c r="I98" s="584" t="s">
        <v>30</v>
      </c>
      <c r="J98" s="584"/>
      <c r="K98" s="584" t="s">
        <v>30</v>
      </c>
      <c r="L98" s="585"/>
      <c r="M98" s="328"/>
      <c r="AA98" s="331" t="s">
        <v>4421</v>
      </c>
      <c r="AB98" s="331" t="s">
        <v>4169</v>
      </c>
      <c r="AH98" s="351" t="s">
        <v>1533</v>
      </c>
      <c r="AI98" s="351" t="s">
        <v>4247</v>
      </c>
    </row>
    <row r="99" spans="1:35">
      <c r="A99" s="579" t="s">
        <v>2152</v>
      </c>
      <c r="B99" s="495" t="str">
        <f t="shared" ref="B99" si="9">IF($D$1=1,M99,
IF($D$1=2,N99,
IF($D$1=3,O99,
IF($D$1=4,P99,
IF($D$1=5,Q99,
IF($D$1=6,R99,0))))))</f>
        <v>Transparent</v>
      </c>
      <c r="C99" s="323">
        <f t="shared" si="7"/>
        <v>44.793485029940122</v>
      </c>
      <c r="D99" s="409"/>
      <c r="E99" s="411">
        <v>1288.8720000000001</v>
      </c>
      <c r="F99" s="411"/>
      <c r="G99" s="287">
        <v>44.793485029940122</v>
      </c>
      <c r="H99" s="287"/>
      <c r="I99" s="411">
        <v>203.86080000000001</v>
      </c>
      <c r="J99" s="411"/>
      <c r="K99" s="411">
        <v>18342.580645161292</v>
      </c>
      <c r="L99" s="411"/>
      <c r="M99" s="351" t="s">
        <v>675</v>
      </c>
      <c r="N99" s="351" t="s">
        <v>676</v>
      </c>
      <c r="O99" s="351" t="s">
        <v>677</v>
      </c>
      <c r="P99" s="351" t="s">
        <v>678</v>
      </c>
      <c r="Q99" s="286" t="s">
        <v>2367</v>
      </c>
      <c r="R99" s="487" t="s">
        <v>4909</v>
      </c>
      <c r="T99" s="286">
        <v>2550</v>
      </c>
      <c r="U99" s="286">
        <v>1605</v>
      </c>
      <c r="AA99" s="331" t="s">
        <v>4422</v>
      </c>
      <c r="AB99" s="331" t="s">
        <v>4170</v>
      </c>
      <c r="AH99" s="351" t="s">
        <v>586</v>
      </c>
      <c r="AI99" s="351" t="s">
        <v>4256</v>
      </c>
    </row>
    <row r="100" spans="1:35">
      <c r="A100" s="579"/>
      <c r="B100" s="335" t="s">
        <v>3168</v>
      </c>
      <c r="C100" s="323">
        <f t="shared" si="7"/>
        <v>6.1819200000000007</v>
      </c>
      <c r="D100" s="287"/>
      <c r="E100">
        <v>157.12618723199998</v>
      </c>
      <c r="G100">
        <v>6.1819200000000007</v>
      </c>
      <c r="H100"/>
      <c r="I100">
        <v>27.538704000000006</v>
      </c>
      <c r="J100" s="411"/>
      <c r="K100">
        <v>2137.5912960000005</v>
      </c>
      <c r="L100" s="411"/>
      <c r="M100" s="351" t="s">
        <v>2095</v>
      </c>
      <c r="N100" s="351" t="s">
        <v>2095</v>
      </c>
      <c r="O100" s="351" t="s">
        <v>2096</v>
      </c>
      <c r="P100" s="351" t="s">
        <v>2094</v>
      </c>
      <c r="Q100" s="286" t="s">
        <v>2406</v>
      </c>
      <c r="R100" s="487" t="s">
        <v>4901</v>
      </c>
      <c r="AA100" s="331" t="s">
        <v>4423</v>
      </c>
      <c r="AB100" s="362" t="s">
        <v>3601</v>
      </c>
      <c r="AH100" s="351" t="s">
        <v>1538</v>
      </c>
      <c r="AI100" s="351" t="s">
        <v>4257</v>
      </c>
    </row>
    <row r="101" spans="1:35">
      <c r="A101" s="579"/>
      <c r="B101" s="335" t="s">
        <v>3170</v>
      </c>
      <c r="C101" s="323">
        <f t="shared" si="7"/>
        <v>6.5318400000000008</v>
      </c>
      <c r="D101" s="409"/>
      <c r="E101" s="411">
        <v>166.14551520000003</v>
      </c>
      <c r="F101" s="411"/>
      <c r="G101" s="287">
        <v>6.5318400000000008</v>
      </c>
      <c r="H101" s="287"/>
      <c r="I101" s="411">
        <v>29.113344000000001</v>
      </c>
      <c r="J101" s="411"/>
      <c r="K101" s="411">
        <v>2260.2965760000002</v>
      </c>
      <c r="L101" s="411"/>
      <c r="M101" s="351" t="s">
        <v>1921</v>
      </c>
      <c r="N101" s="351" t="s">
        <v>1921</v>
      </c>
      <c r="O101" s="351" t="s">
        <v>2092</v>
      </c>
      <c r="P101" s="351" t="s">
        <v>2093</v>
      </c>
      <c r="Q101" s="286" t="s">
        <v>2404</v>
      </c>
      <c r="R101" s="487" t="s">
        <v>4902</v>
      </c>
      <c r="AA101" s="331" t="s">
        <v>4424</v>
      </c>
      <c r="AB101" s="362" t="s">
        <v>4215</v>
      </c>
      <c r="AH101" s="351" t="s">
        <v>1530</v>
      </c>
      <c r="AI101" s="351" t="s">
        <v>4258</v>
      </c>
    </row>
    <row r="102" spans="1:35">
      <c r="A102" s="579"/>
      <c r="B102" s="338" t="str">
        <f t="shared" ref="B102:B141" si="10">IF($D$1=1,M102,
IF($D$1=2,N102,
IF($D$1=3,O102,
IF($D$1=4,P102,
IF($D$1=5,Q102,
IF($D$1=6,R102,0))))))</f>
        <v>Foil</v>
      </c>
      <c r="C102" s="323">
        <f t="shared" si="7"/>
        <v>7.6982400000000002</v>
      </c>
      <c r="D102" s="409"/>
      <c r="E102" s="411">
        <v>167.31191520000004</v>
      </c>
      <c r="G102" s="411">
        <v>7.6982400000000002</v>
      </c>
      <c r="I102" s="287">
        <v>30.279744000000004</v>
      </c>
      <c r="J102" s="411"/>
      <c r="K102" s="287">
        <v>2261.4629760000003</v>
      </c>
      <c r="L102" s="411"/>
      <c r="M102" s="351" t="s">
        <v>1866</v>
      </c>
      <c r="N102" s="351" t="s">
        <v>1866</v>
      </c>
      <c r="O102" s="351" t="s">
        <v>2097</v>
      </c>
      <c r="P102" s="351" t="s">
        <v>2098</v>
      </c>
      <c r="Q102" s="286" t="s">
        <v>2405</v>
      </c>
      <c r="R102" s="487" t="s">
        <v>4903</v>
      </c>
      <c r="AA102" s="331" t="s">
        <v>4425</v>
      </c>
      <c r="AB102" s="362" t="s">
        <v>4171</v>
      </c>
      <c r="AH102" s="351" t="s">
        <v>4757</v>
      </c>
      <c r="AI102" s="351" t="s">
        <v>4259</v>
      </c>
    </row>
    <row r="103" spans="1:35">
      <c r="A103" s="579"/>
      <c r="B103" s="338" t="str">
        <f t="shared" si="10"/>
        <v>Transparent harded (delivery 3 weeks)</v>
      </c>
      <c r="C103" s="323">
        <f t="shared" si="7"/>
        <v>8.8646400000000014</v>
      </c>
      <c r="D103" s="409"/>
      <c r="E103" s="411">
        <v>168.4783152</v>
      </c>
      <c r="F103" s="411"/>
      <c r="G103" s="287">
        <v>8.8646400000000014</v>
      </c>
      <c r="H103" s="287"/>
      <c r="I103" s="411">
        <v>31.446144000000004</v>
      </c>
      <c r="J103" s="411"/>
      <c r="K103" s="411">
        <v>2262.6293760000003</v>
      </c>
      <c r="L103" s="411"/>
      <c r="M103" s="351" t="s">
        <v>918</v>
      </c>
      <c r="N103" s="351" t="s">
        <v>919</v>
      </c>
      <c r="O103" s="351" t="s">
        <v>3412</v>
      </c>
      <c r="P103" s="351" t="s">
        <v>930</v>
      </c>
      <c r="Q103" s="286" t="s">
        <v>4766</v>
      </c>
      <c r="R103" s="487" t="s">
        <v>4904</v>
      </c>
      <c r="AA103" s="331" t="s">
        <v>4426</v>
      </c>
      <c r="AB103" s="362" t="s">
        <v>4172</v>
      </c>
      <c r="AH103" s="351" t="s">
        <v>4758</v>
      </c>
      <c r="AI103" s="351" t="s">
        <v>3605</v>
      </c>
    </row>
    <row r="104" spans="1:35">
      <c r="A104" s="579"/>
      <c r="B104" s="338" t="str">
        <f t="shared" si="10"/>
        <v>Satinato</v>
      </c>
      <c r="C104" s="323">
        <f t="shared" si="7"/>
        <v>57.140407185628746</v>
      </c>
      <c r="D104" s="409"/>
      <c r="E104" s="411">
        <v>1644.1379999999999</v>
      </c>
      <c r="F104" s="411"/>
      <c r="G104" s="287">
        <v>57.140407185628746</v>
      </c>
      <c r="H104" s="287"/>
      <c r="I104" s="411">
        <v>260.0532</v>
      </c>
      <c r="J104" s="411"/>
      <c r="K104" s="411">
        <v>23398.548387096776</v>
      </c>
      <c r="L104" s="411"/>
      <c r="M104" s="351" t="s">
        <v>680</v>
      </c>
      <c r="N104" s="351" t="s">
        <v>680</v>
      </c>
      <c r="O104" s="351" t="s">
        <v>4245</v>
      </c>
      <c r="P104" s="351" t="s">
        <v>680</v>
      </c>
      <c r="Q104" s="286" t="s">
        <v>680</v>
      </c>
      <c r="R104" s="487" t="s">
        <v>680</v>
      </c>
      <c r="T104" s="286">
        <v>2550</v>
      </c>
      <c r="U104" s="286">
        <v>1605</v>
      </c>
      <c r="AA104" s="362" t="s">
        <v>4427</v>
      </c>
      <c r="AB104" s="362" t="s">
        <v>4173</v>
      </c>
      <c r="AH104" s="351" t="s">
        <v>4759</v>
      </c>
      <c r="AI104" s="351" t="s">
        <v>4263</v>
      </c>
    </row>
    <row r="105" spans="1:35">
      <c r="A105" s="579"/>
      <c r="B105" s="338" t="str">
        <f t="shared" si="10"/>
        <v>MASTER SOFT</v>
      </c>
      <c r="C105" s="323">
        <f t="shared" si="7"/>
        <v>74.081532934131729</v>
      </c>
      <c r="D105" s="409"/>
      <c r="E105" s="411">
        <v>2131.5959999999995</v>
      </c>
      <c r="F105" s="411"/>
      <c r="G105" s="287">
        <v>74.081532934131729</v>
      </c>
      <c r="H105" s="287"/>
      <c r="I105" s="411">
        <v>337.15439999999995</v>
      </c>
      <c r="J105" s="411"/>
      <c r="K105" s="411">
        <v>30335.806451612902</v>
      </c>
      <c r="L105" s="411"/>
      <c r="M105" s="351" t="s">
        <v>4668</v>
      </c>
      <c r="N105" s="351" t="s">
        <v>4668</v>
      </c>
      <c r="O105" s="351" t="s">
        <v>4246</v>
      </c>
      <c r="P105" s="351" t="s">
        <v>4668</v>
      </c>
      <c r="Q105" s="286" t="s">
        <v>4668</v>
      </c>
      <c r="R105" s="487" t="s">
        <v>4668</v>
      </c>
      <c r="T105" s="286">
        <v>2700</v>
      </c>
      <c r="U105" s="286">
        <v>1605</v>
      </c>
      <c r="AA105" s="362" t="s">
        <v>4517</v>
      </c>
      <c r="AB105" s="362" t="s">
        <v>4174</v>
      </c>
      <c r="AH105" s="351" t="s">
        <v>4760</v>
      </c>
      <c r="AI105" s="351" t="s">
        <v>4265</v>
      </c>
    </row>
    <row r="106" spans="1:35">
      <c r="A106" s="579"/>
      <c r="B106" s="338" t="str">
        <f t="shared" si="10"/>
        <v>Satinato brown / Decormat Braz</v>
      </c>
      <c r="C106" s="323">
        <f t="shared" si="7"/>
        <v>72.64584431137726</v>
      </c>
      <c r="D106" s="287"/>
      <c r="E106" s="411">
        <v>2090.2860000000001</v>
      </c>
      <c r="F106" s="411"/>
      <c r="G106" s="287">
        <v>72.64584431137726</v>
      </c>
      <c r="H106" s="287"/>
      <c r="I106" s="411">
        <v>330.62040000000002</v>
      </c>
      <c r="J106" s="411"/>
      <c r="K106" s="411">
        <v>29747.903225806454</v>
      </c>
      <c r="L106" s="411"/>
      <c r="M106" s="351" t="s">
        <v>4669</v>
      </c>
      <c r="N106" s="351" t="s">
        <v>4783</v>
      </c>
      <c r="O106" s="351" t="s">
        <v>4676</v>
      </c>
      <c r="P106" s="351" t="s">
        <v>4785</v>
      </c>
      <c r="Q106" s="286" t="s">
        <v>4786</v>
      </c>
      <c r="R106" s="487" t="s">
        <v>4910</v>
      </c>
      <c r="T106" s="286">
        <v>2700</v>
      </c>
      <c r="U106" s="286">
        <v>1605</v>
      </c>
      <c r="AA106" s="330" t="s">
        <v>4521</v>
      </c>
      <c r="AB106" s="362" t="s">
        <v>4175</v>
      </c>
      <c r="AH106" s="351" t="s">
        <v>4761</v>
      </c>
      <c r="AI106" s="351" t="s">
        <v>4268</v>
      </c>
    </row>
    <row r="107" spans="1:35">
      <c r="A107" s="579"/>
      <c r="B107" s="338" t="str">
        <f t="shared" si="10"/>
        <v>Satinato graphite  / Decormat grafit</v>
      </c>
      <c r="C107" s="323">
        <f t="shared" si="7"/>
        <v>72.64584431137726</v>
      </c>
      <c r="D107" s="409"/>
      <c r="E107" s="411">
        <v>2090.2860000000001</v>
      </c>
      <c r="F107" s="411"/>
      <c r="G107" s="287">
        <v>72.64584431137726</v>
      </c>
      <c r="H107" s="287"/>
      <c r="I107" s="411">
        <v>330.62040000000002</v>
      </c>
      <c r="J107" s="411"/>
      <c r="K107" s="411">
        <v>29747.903225806454</v>
      </c>
      <c r="L107" s="411"/>
      <c r="M107" s="351" t="s">
        <v>4670</v>
      </c>
      <c r="N107" s="351" t="s">
        <v>4784</v>
      </c>
      <c r="O107" s="351" t="s">
        <v>4677</v>
      </c>
      <c r="P107" s="351" t="s">
        <v>4784</v>
      </c>
      <c r="Q107" s="286" t="s">
        <v>4787</v>
      </c>
      <c r="R107" s="487" t="s">
        <v>4911</v>
      </c>
      <c r="T107" s="286">
        <v>2700</v>
      </c>
      <c r="U107" s="286">
        <v>1605</v>
      </c>
      <c r="AA107" s="338" t="s">
        <v>4428</v>
      </c>
      <c r="AB107" s="338" t="s">
        <v>4176</v>
      </c>
      <c r="AH107" s="351" t="s">
        <v>4762</v>
      </c>
      <c r="AI107" s="351" t="s">
        <v>4269</v>
      </c>
    </row>
    <row r="108" spans="1:35">
      <c r="A108" s="579"/>
      <c r="B108" s="338" t="str">
        <f t="shared" si="10"/>
        <v>Masterscreen - maximum possible size 2160 x 1650 mm</v>
      </c>
      <c r="C108" s="323">
        <f t="shared" si="7"/>
        <v>79.250011976047915</v>
      </c>
      <c r="D108" s="409"/>
      <c r="E108" s="411">
        <v>2280.3119999999999</v>
      </c>
      <c r="F108" s="411"/>
      <c r="G108" s="287">
        <v>79.250011976047915</v>
      </c>
      <c r="H108" s="287"/>
      <c r="I108" s="411">
        <v>360.67679999999996</v>
      </c>
      <c r="J108" s="411"/>
      <c r="K108" s="411">
        <v>32452.258064516129</v>
      </c>
      <c r="L108" s="411"/>
      <c r="M108" s="351" t="s">
        <v>4721</v>
      </c>
      <c r="N108" s="351" t="s">
        <v>4722</v>
      </c>
      <c r="O108" s="351" t="s">
        <v>4723</v>
      </c>
      <c r="P108" s="351" t="s">
        <v>4724</v>
      </c>
      <c r="Q108" s="286" t="s">
        <v>4725</v>
      </c>
      <c r="R108" s="487" t="s">
        <v>4912</v>
      </c>
      <c r="T108" s="286">
        <v>2160</v>
      </c>
      <c r="U108" s="286">
        <v>1650</v>
      </c>
      <c r="AA108" s="338" t="s">
        <v>4429</v>
      </c>
      <c r="AB108" s="338" t="s">
        <v>4177</v>
      </c>
      <c r="AH108" s="352" t="s">
        <v>4763</v>
      </c>
      <c r="AI108" s="351" t="s">
        <v>4276</v>
      </c>
    </row>
    <row r="109" spans="1:35">
      <c r="A109" s="579"/>
      <c r="B109" s="338" t="str">
        <f t="shared" si="10"/>
        <v>Venus VG10</v>
      </c>
      <c r="C109" s="323">
        <f t="shared" si="7"/>
        <v>71.669576047904201</v>
      </c>
      <c r="D109" s="287"/>
      <c r="E109" s="411">
        <v>2062.1952000000001</v>
      </c>
      <c r="F109" s="411"/>
      <c r="G109" s="287">
        <v>71.669576047904201</v>
      </c>
      <c r="H109" s="287"/>
      <c r="I109" s="411">
        <v>326.17728000000005</v>
      </c>
      <c r="J109" s="411"/>
      <c r="K109" s="411">
        <v>29348.129032258068</v>
      </c>
      <c r="L109" s="411"/>
      <c r="M109" s="351" t="s">
        <v>1332</v>
      </c>
      <c r="N109" s="351" t="s">
        <v>1332</v>
      </c>
      <c r="O109" s="351" t="s">
        <v>4250</v>
      </c>
      <c r="P109" s="351" t="s">
        <v>1332</v>
      </c>
      <c r="Q109" s="351" t="s">
        <v>1332</v>
      </c>
      <c r="R109" s="487" t="s">
        <v>1332</v>
      </c>
      <c r="T109" s="286">
        <v>3210</v>
      </c>
      <c r="U109" s="286">
        <v>2250</v>
      </c>
      <c r="AA109" s="338" t="s">
        <v>4430</v>
      </c>
      <c r="AB109" s="338" t="s">
        <v>4178</v>
      </c>
      <c r="AH109" s="352" t="s">
        <v>4680</v>
      </c>
      <c r="AI109" s="351" t="s">
        <v>4277</v>
      </c>
    </row>
    <row r="110" spans="1:35">
      <c r="A110" s="579"/>
      <c r="B110" s="338" t="str">
        <f t="shared" si="10"/>
        <v>Stopsol bronze  - maximum possible size 2250 x 1605 mm</v>
      </c>
      <c r="C110" s="323">
        <f t="shared" si="7"/>
        <v>96.478275449101787</v>
      </c>
      <c r="D110" s="409"/>
      <c r="E110" s="411">
        <v>2776.0319999999997</v>
      </c>
      <c r="F110" s="411"/>
      <c r="G110" s="287">
        <v>96.478275449101787</v>
      </c>
      <c r="H110" s="287"/>
      <c r="I110" s="411">
        <v>439.08479999999997</v>
      </c>
      <c r="J110" s="411"/>
      <c r="K110" s="411">
        <v>39507.096774193546</v>
      </c>
      <c r="L110" s="411"/>
      <c r="M110" s="351" t="s">
        <v>4731</v>
      </c>
      <c r="N110" s="351" t="s">
        <v>4732</v>
      </c>
      <c r="O110" s="351" t="s">
        <v>4733</v>
      </c>
      <c r="P110" s="351" t="s">
        <v>4734</v>
      </c>
      <c r="Q110" s="286" t="s">
        <v>4735</v>
      </c>
      <c r="R110" s="487" t="s">
        <v>4905</v>
      </c>
      <c r="T110" s="286">
        <v>2250</v>
      </c>
      <c r="U110" s="286">
        <v>1605</v>
      </c>
      <c r="AA110" s="338" t="s">
        <v>4431</v>
      </c>
      <c r="AB110" s="338" t="s">
        <v>3632</v>
      </c>
      <c r="AH110" s="352" t="s">
        <v>4764</v>
      </c>
      <c r="AI110" s="351" t="s">
        <v>4278</v>
      </c>
    </row>
    <row r="111" spans="1:35">
      <c r="A111" s="579"/>
      <c r="B111" s="338" t="str">
        <f t="shared" si="10"/>
        <v>Lacomatt</v>
      </c>
      <c r="C111" s="323">
        <f t="shared" si="7"/>
        <v>63.457437125748505</v>
      </c>
      <c r="D111" s="409"/>
      <c r="E111" s="411">
        <v>1825.9019999999998</v>
      </c>
      <c r="F111" s="411"/>
      <c r="G111" s="287">
        <v>63.457437125748505</v>
      </c>
      <c r="H111" s="287"/>
      <c r="I111" s="411">
        <v>288.80279999999999</v>
      </c>
      <c r="J111" s="411"/>
      <c r="K111" s="411">
        <v>25985.322580645159</v>
      </c>
      <c r="L111" s="411"/>
      <c r="M111" s="351" t="s">
        <v>681</v>
      </c>
      <c r="N111" s="351" t="s">
        <v>681</v>
      </c>
      <c r="O111" s="351" t="s">
        <v>4252</v>
      </c>
      <c r="P111" s="351" t="s">
        <v>681</v>
      </c>
      <c r="Q111" s="286" t="s">
        <v>4767</v>
      </c>
      <c r="R111" s="487" t="s">
        <v>681</v>
      </c>
      <c r="T111" s="286">
        <v>2550</v>
      </c>
      <c r="U111" s="286">
        <v>1605</v>
      </c>
      <c r="AA111" s="338" t="s">
        <v>4432</v>
      </c>
      <c r="AB111" s="338" t="s">
        <v>4179</v>
      </c>
      <c r="AH111" s="352" t="s">
        <v>4765</v>
      </c>
      <c r="AI111" s="351" t="s">
        <v>4279</v>
      </c>
    </row>
    <row r="112" spans="1:35">
      <c r="A112" s="579"/>
      <c r="B112" s="338" t="str">
        <f t="shared" si="10"/>
        <v>MASTER FLEX</v>
      </c>
      <c r="C112" s="323">
        <f t="shared" si="7"/>
        <v>74.081532934131729</v>
      </c>
      <c r="D112" s="409"/>
      <c r="E112" s="411">
        <v>2131.5959999999995</v>
      </c>
      <c r="F112" s="411"/>
      <c r="G112" s="287">
        <v>74.081532934131729</v>
      </c>
      <c r="H112" s="287"/>
      <c r="I112" s="411">
        <v>337.15439999999995</v>
      </c>
      <c r="J112" s="411"/>
      <c r="K112" s="411">
        <v>30335.806451612902</v>
      </c>
      <c r="L112" s="411"/>
      <c r="M112" s="351" t="s">
        <v>4708</v>
      </c>
      <c r="N112" s="351" t="s">
        <v>4708</v>
      </c>
      <c r="O112" s="351" t="s">
        <v>4253</v>
      </c>
      <c r="P112" s="351" t="s">
        <v>4708</v>
      </c>
      <c r="Q112" s="286" t="s">
        <v>4708</v>
      </c>
      <c r="R112" s="487" t="s">
        <v>4708</v>
      </c>
      <c r="T112" s="286">
        <v>2000</v>
      </c>
      <c r="U112" s="286">
        <v>1605</v>
      </c>
      <c r="AA112" s="338" t="s">
        <v>4433</v>
      </c>
      <c r="AB112" s="338" t="s">
        <v>4217</v>
      </c>
      <c r="AH112" s="352" t="s">
        <v>587</v>
      </c>
      <c r="AI112" s="351" t="s">
        <v>4282</v>
      </c>
    </row>
    <row r="113" spans="1:35">
      <c r="A113" s="579"/>
      <c r="B113" s="338" t="str">
        <f t="shared" si="10"/>
        <v>Antisol bronze</v>
      </c>
      <c r="C113" s="323">
        <f t="shared" si="7"/>
        <v>56.738414371257491</v>
      </c>
      <c r="D113" s="409"/>
      <c r="E113" s="411">
        <v>1632.5712000000001</v>
      </c>
      <c r="F113" s="411"/>
      <c r="G113" s="287">
        <v>56.738414371257491</v>
      </c>
      <c r="H113" s="287"/>
      <c r="I113" s="411">
        <v>258.22368</v>
      </c>
      <c r="J113" s="411"/>
      <c r="K113" s="411">
        <v>23233.93548387097</v>
      </c>
      <c r="L113" s="411"/>
      <c r="M113" s="351" t="s">
        <v>691</v>
      </c>
      <c r="N113" s="351" t="s">
        <v>691</v>
      </c>
      <c r="O113" s="351" t="s">
        <v>4254</v>
      </c>
      <c r="P113" s="351" t="s">
        <v>691</v>
      </c>
      <c r="Q113" s="286" t="s">
        <v>1620</v>
      </c>
      <c r="R113" s="487" t="s">
        <v>1620</v>
      </c>
      <c r="T113" s="286">
        <v>2550</v>
      </c>
      <c r="U113" s="286">
        <v>1605</v>
      </c>
      <c r="AA113" s="331" t="s">
        <v>4441</v>
      </c>
      <c r="AB113" s="331" t="s">
        <v>4133</v>
      </c>
      <c r="AH113" s="352" t="s">
        <v>589</v>
      </c>
      <c r="AI113" s="351" t="s">
        <v>4284</v>
      </c>
    </row>
    <row r="114" spans="1:35">
      <c r="A114" s="579"/>
      <c r="B114" s="338" t="str">
        <f t="shared" si="10"/>
        <v>Antisol graphite</v>
      </c>
      <c r="C114" s="323">
        <f t="shared" si="7"/>
        <v>56.738414371257491</v>
      </c>
      <c r="D114" s="409"/>
      <c r="E114" s="411">
        <v>1632.5712000000001</v>
      </c>
      <c r="F114" s="411"/>
      <c r="G114" s="287">
        <v>56.738414371257491</v>
      </c>
      <c r="H114" s="287"/>
      <c r="I114" s="411">
        <v>258.22368</v>
      </c>
      <c r="J114" s="411"/>
      <c r="K114" s="411">
        <v>23233.93548387097</v>
      </c>
      <c r="L114" s="411"/>
      <c r="M114" s="351" t="s">
        <v>692</v>
      </c>
      <c r="N114" s="351" t="s">
        <v>692</v>
      </c>
      <c r="O114" s="351" t="s">
        <v>4255</v>
      </c>
      <c r="P114" s="351" t="s">
        <v>692</v>
      </c>
      <c r="Q114" s="286" t="s">
        <v>1621</v>
      </c>
      <c r="R114" s="487" t="s">
        <v>1621</v>
      </c>
      <c r="T114" s="286">
        <v>2550</v>
      </c>
      <c r="U114" s="286">
        <v>1605</v>
      </c>
      <c r="AA114" s="331" t="s">
        <v>4442</v>
      </c>
      <c r="AB114" s="331" t="s">
        <v>4213</v>
      </c>
      <c r="AH114" s="352" t="s">
        <v>1544</v>
      </c>
      <c r="AI114" s="351" t="s">
        <v>4285</v>
      </c>
    </row>
    <row r="115" spans="1:35">
      <c r="A115" s="579"/>
      <c r="B115" s="338" t="str">
        <f t="shared" si="10"/>
        <v>Mirror</v>
      </c>
      <c r="C115" s="323">
        <f t="shared" si="7"/>
        <v>59.724646706586839</v>
      </c>
      <c r="D115" s="409"/>
      <c r="E115" s="411">
        <v>1718.4960000000001</v>
      </c>
      <c r="F115" s="411"/>
      <c r="G115" s="287">
        <v>59.724646706586839</v>
      </c>
      <c r="H115" s="287"/>
      <c r="I115" s="411">
        <v>271.81440000000003</v>
      </c>
      <c r="J115" s="411"/>
      <c r="K115" s="411">
        <v>24456.774193548394</v>
      </c>
      <c r="L115" s="411"/>
      <c r="M115" s="351" t="s">
        <v>682</v>
      </c>
      <c r="N115" s="351" t="s">
        <v>683</v>
      </c>
      <c r="O115" s="351" t="s">
        <v>4256</v>
      </c>
      <c r="P115" s="351" t="s">
        <v>586</v>
      </c>
      <c r="Q115" s="286" t="s">
        <v>1622</v>
      </c>
      <c r="R115" s="487" t="s">
        <v>4913</v>
      </c>
      <c r="T115" s="286">
        <v>2550</v>
      </c>
      <c r="U115" s="286">
        <v>1605</v>
      </c>
      <c r="AA115" s="331" t="s">
        <v>4443</v>
      </c>
      <c r="AB115" s="331" t="s">
        <v>4134</v>
      </c>
      <c r="AH115" s="286" t="s">
        <v>2367</v>
      </c>
      <c r="AI115" s="351" t="s">
        <v>677</v>
      </c>
    </row>
    <row r="116" spans="1:35">
      <c r="A116" s="579"/>
      <c r="B116" s="338" t="str">
        <f t="shared" si="10"/>
        <v>Mirror brown</v>
      </c>
      <c r="C116" s="323">
        <f t="shared" si="7"/>
        <v>78.388598802395222</v>
      </c>
      <c r="D116" s="409"/>
      <c r="E116" s="411">
        <v>2255.5260000000003</v>
      </c>
      <c r="F116" s="411"/>
      <c r="G116" s="287">
        <v>78.388598802395222</v>
      </c>
      <c r="H116" s="287"/>
      <c r="I116" s="411">
        <v>356.75640000000004</v>
      </c>
      <c r="J116" s="411"/>
      <c r="K116" s="411">
        <v>32099.516129032261</v>
      </c>
      <c r="L116" s="411"/>
      <c r="M116" s="351" t="s">
        <v>1526</v>
      </c>
      <c r="N116" s="351" t="s">
        <v>1534</v>
      </c>
      <c r="O116" s="351" t="s">
        <v>4257</v>
      </c>
      <c r="P116" s="351" t="s">
        <v>1538</v>
      </c>
      <c r="Q116" s="286" t="s">
        <v>1623</v>
      </c>
      <c r="R116" s="487" t="s">
        <v>4914</v>
      </c>
      <c r="T116" s="286">
        <v>2250</v>
      </c>
      <c r="U116" s="286">
        <v>1605</v>
      </c>
      <c r="AA116" s="331" t="s">
        <v>4485</v>
      </c>
      <c r="AB116" s="331" t="s">
        <v>4135</v>
      </c>
      <c r="AH116" s="286" t="s">
        <v>2406</v>
      </c>
      <c r="AI116" s="351" t="s">
        <v>2096</v>
      </c>
    </row>
    <row r="117" spans="1:35">
      <c r="A117" s="579"/>
      <c r="B117" s="338" t="str">
        <f t="shared" si="10"/>
        <v>Mirror black</v>
      </c>
      <c r="C117" s="323">
        <f t="shared" si="7"/>
        <v>78.388598802395222</v>
      </c>
      <c r="D117" s="409"/>
      <c r="E117" s="411">
        <v>2255.5260000000003</v>
      </c>
      <c r="F117" s="411"/>
      <c r="G117" s="287">
        <v>78.388598802395222</v>
      </c>
      <c r="H117" s="287"/>
      <c r="I117" s="411">
        <v>356.75640000000004</v>
      </c>
      <c r="J117" s="411"/>
      <c r="K117" s="411">
        <v>32099.516129032261</v>
      </c>
      <c r="L117" s="411"/>
      <c r="M117" s="351" t="s">
        <v>1527</v>
      </c>
      <c r="N117" s="351" t="s">
        <v>1528</v>
      </c>
      <c r="O117" s="351" t="s">
        <v>4258</v>
      </c>
      <c r="P117" s="351" t="s">
        <v>1530</v>
      </c>
      <c r="Q117" s="286" t="s">
        <v>4768</v>
      </c>
      <c r="R117" s="487" t="s">
        <v>4906</v>
      </c>
      <c r="T117" s="286">
        <v>2550</v>
      </c>
      <c r="U117" s="286">
        <v>1605</v>
      </c>
      <c r="AA117" s="331" t="s">
        <v>4444</v>
      </c>
      <c r="AB117" s="331" t="s">
        <v>4136</v>
      </c>
      <c r="AH117" s="286" t="s">
        <v>2404</v>
      </c>
      <c r="AI117" s="351" t="s">
        <v>2092</v>
      </c>
    </row>
    <row r="118" spans="1:35">
      <c r="A118" s="579"/>
      <c r="B118" s="338" t="str">
        <f t="shared" si="10"/>
        <v>VISIOSUN horizont</v>
      </c>
      <c r="C118" s="323">
        <f t="shared" si="7"/>
        <v>74.081532934131729</v>
      </c>
      <c r="D118" s="409"/>
      <c r="E118" s="411">
        <v>2131.5959999999995</v>
      </c>
      <c r="F118" s="411"/>
      <c r="G118" s="287">
        <v>74.081532934131729</v>
      </c>
      <c r="H118" s="287"/>
      <c r="I118" s="411">
        <v>337.15439999999995</v>
      </c>
      <c r="J118" s="411"/>
      <c r="K118" s="411">
        <v>30335.806451612902</v>
      </c>
      <c r="L118" s="411"/>
      <c r="M118" s="351" t="s">
        <v>4709</v>
      </c>
      <c r="N118" s="351" t="s">
        <v>4709</v>
      </c>
      <c r="O118" s="351" t="s">
        <v>4259</v>
      </c>
      <c r="P118" s="351" t="s">
        <v>4757</v>
      </c>
      <c r="Q118" s="286" t="s">
        <v>4709</v>
      </c>
      <c r="R118" s="487" t="s">
        <v>4915</v>
      </c>
      <c r="T118" s="286">
        <v>3210</v>
      </c>
      <c r="U118" s="286">
        <v>2000</v>
      </c>
      <c r="AA118" s="331" t="s">
        <v>4445</v>
      </c>
      <c r="AB118" s="331" t="s">
        <v>4137</v>
      </c>
      <c r="AH118" s="286" t="s">
        <v>2405</v>
      </c>
      <c r="AI118" s="351" t="s">
        <v>2097</v>
      </c>
    </row>
    <row r="119" spans="1:35">
      <c r="A119" s="579"/>
      <c r="B119" s="338" t="str">
        <f t="shared" si="10"/>
        <v>Krizet  - maximum possible size 2130 x 1650 mm</v>
      </c>
      <c r="C119" s="323">
        <f t="shared" si="7"/>
        <v>79.250011976047915</v>
      </c>
      <c r="D119" s="409"/>
      <c r="E119" s="411">
        <v>2280.3119999999999</v>
      </c>
      <c r="F119" s="411"/>
      <c r="G119" s="287">
        <v>79.250011976047915</v>
      </c>
      <c r="H119" s="287"/>
      <c r="I119" s="411">
        <v>360.67679999999996</v>
      </c>
      <c r="J119" s="411"/>
      <c r="K119" s="411">
        <v>32452.258064516129</v>
      </c>
      <c r="L119" s="411"/>
      <c r="M119" s="351" t="s">
        <v>4726</v>
      </c>
      <c r="N119" s="351" t="s">
        <v>4727</v>
      </c>
      <c r="O119" s="351" t="s">
        <v>4728</v>
      </c>
      <c r="P119" s="351" t="s">
        <v>4729</v>
      </c>
      <c r="Q119" s="286" t="s">
        <v>4730</v>
      </c>
      <c r="R119" s="487" t="s">
        <v>4907</v>
      </c>
      <c r="T119" s="286">
        <v>2130</v>
      </c>
      <c r="U119" s="286">
        <v>1650</v>
      </c>
      <c r="AA119" s="331" t="s">
        <v>4446</v>
      </c>
      <c r="AB119" s="331" t="s">
        <v>4138</v>
      </c>
      <c r="AH119" s="286" t="s">
        <v>4766</v>
      </c>
      <c r="AI119" s="351" t="s">
        <v>4244</v>
      </c>
    </row>
    <row r="120" spans="1:35">
      <c r="A120" s="579"/>
      <c r="B120" s="338" t="str">
        <f t="shared" si="10"/>
        <v>Master (Carre)</v>
      </c>
      <c r="C120" s="323">
        <f t="shared" si="7"/>
        <v>64.203995209580839</v>
      </c>
      <c r="D120" s="409"/>
      <c r="E120" s="411">
        <v>1847.3831999999998</v>
      </c>
      <c r="F120" s="411"/>
      <c r="G120" s="287">
        <v>64.203995209580839</v>
      </c>
      <c r="H120" s="287"/>
      <c r="I120" s="411">
        <v>292.20047999999997</v>
      </c>
      <c r="J120" s="411"/>
      <c r="K120" s="411">
        <v>26291.032258064515</v>
      </c>
      <c r="L120" s="411"/>
      <c r="M120" s="351" t="s">
        <v>685</v>
      </c>
      <c r="N120" s="351" t="s">
        <v>685</v>
      </c>
      <c r="O120" s="351" t="s">
        <v>4261</v>
      </c>
      <c r="P120" s="351" t="s">
        <v>685</v>
      </c>
      <c r="Q120" s="286" t="s">
        <v>685</v>
      </c>
      <c r="R120" s="487" t="s">
        <v>685</v>
      </c>
      <c r="T120" s="286">
        <v>2700</v>
      </c>
      <c r="U120" s="286">
        <v>1605</v>
      </c>
      <c r="AA120" s="332" t="s">
        <v>4592</v>
      </c>
      <c r="AB120" s="332" t="s">
        <v>2571</v>
      </c>
      <c r="AH120" s="286" t="s">
        <v>1616</v>
      </c>
      <c r="AI120" s="351" t="s">
        <v>4247</v>
      </c>
    </row>
    <row r="121" spans="1:35">
      <c r="A121" s="579"/>
      <c r="B121" s="338" t="str">
        <f t="shared" si="10"/>
        <v>Master  Ligne horizontal</v>
      </c>
      <c r="C121" s="323">
        <f t="shared" si="7"/>
        <v>64.203995209580839</v>
      </c>
      <c r="D121" s="409"/>
      <c r="E121" s="411">
        <v>1847.3831999999998</v>
      </c>
      <c r="F121" s="411"/>
      <c r="G121" s="287">
        <v>64.203995209580839</v>
      </c>
      <c r="H121" s="287"/>
      <c r="I121" s="411">
        <v>292.20047999999997</v>
      </c>
      <c r="J121" s="411"/>
      <c r="K121" s="411">
        <v>26291.032258064515</v>
      </c>
      <c r="L121" s="411"/>
      <c r="M121" s="352" t="s">
        <v>4710</v>
      </c>
      <c r="N121" s="351" t="s">
        <v>4710</v>
      </c>
      <c r="O121" s="351" t="s">
        <v>3605</v>
      </c>
      <c r="P121" s="351" t="s">
        <v>4758</v>
      </c>
      <c r="Q121" s="286" t="s">
        <v>4769</v>
      </c>
      <c r="R121" s="487" t="s">
        <v>4916</v>
      </c>
      <c r="T121" s="286">
        <v>2700</v>
      </c>
      <c r="U121" s="286">
        <v>1605</v>
      </c>
      <c r="AA121" s="331" t="s">
        <v>4447</v>
      </c>
      <c r="AB121" s="331" t="s">
        <v>4139</v>
      </c>
      <c r="AH121" s="286" t="s">
        <v>1617</v>
      </c>
      <c r="AI121" s="351" t="s">
        <v>4248</v>
      </c>
    </row>
    <row r="122" spans="1:35">
      <c r="A122" s="579"/>
      <c r="B122" s="338" t="str">
        <f t="shared" si="10"/>
        <v>Master Point</v>
      </c>
      <c r="C122" s="323">
        <f t="shared" si="7"/>
        <v>64.203995209580839</v>
      </c>
      <c r="D122" s="409"/>
      <c r="E122" s="411">
        <v>1847.3831999999998</v>
      </c>
      <c r="F122" s="411"/>
      <c r="G122" s="287">
        <v>64.203995209580839</v>
      </c>
      <c r="H122" s="287"/>
      <c r="I122" s="411">
        <v>292.20047999999997</v>
      </c>
      <c r="J122" s="411"/>
      <c r="K122" s="411">
        <v>26291.032258064515</v>
      </c>
      <c r="L122" s="411"/>
      <c r="M122" s="352" t="s">
        <v>688</v>
      </c>
      <c r="N122" s="351" t="s">
        <v>688</v>
      </c>
      <c r="O122" s="351" t="s">
        <v>4262</v>
      </c>
      <c r="P122" s="351" t="s">
        <v>688</v>
      </c>
      <c r="Q122" s="286" t="s">
        <v>1628</v>
      </c>
      <c r="R122" s="487" t="s">
        <v>1628</v>
      </c>
      <c r="T122" s="286">
        <v>2700</v>
      </c>
      <c r="U122" s="286">
        <v>1605</v>
      </c>
      <c r="AA122" s="331" t="s">
        <v>4448</v>
      </c>
      <c r="AB122" s="331" t="s">
        <v>4140</v>
      </c>
      <c r="AH122" s="286" t="s">
        <v>1618</v>
      </c>
      <c r="AI122" s="351" t="s">
        <v>4251</v>
      </c>
    </row>
    <row r="123" spans="1:35">
      <c r="A123" s="579"/>
      <c r="B123" s="338" t="str">
        <f t="shared" si="10"/>
        <v>FLUTES horizont</v>
      </c>
      <c r="C123" s="323">
        <f t="shared" si="7"/>
        <v>99.062514970059908</v>
      </c>
      <c r="D123" s="409"/>
      <c r="E123" s="411">
        <v>2850.3900000000003</v>
      </c>
      <c r="F123" s="411"/>
      <c r="G123" s="287">
        <v>99.062514970059908</v>
      </c>
      <c r="H123" s="287"/>
      <c r="I123" s="411">
        <v>450.846</v>
      </c>
      <c r="J123" s="411"/>
      <c r="K123" s="411">
        <v>40565.322580645166</v>
      </c>
      <c r="L123" s="411"/>
      <c r="M123" s="352" t="s">
        <v>4711</v>
      </c>
      <c r="N123" s="351" t="s">
        <v>4711</v>
      </c>
      <c r="O123" s="351" t="s">
        <v>4263</v>
      </c>
      <c r="P123" s="351" t="s">
        <v>4759</v>
      </c>
      <c r="Q123" s="286" t="s">
        <v>4711</v>
      </c>
      <c r="R123" s="487" t="s">
        <v>4917</v>
      </c>
      <c r="T123" s="286">
        <v>2540</v>
      </c>
      <c r="U123" s="286">
        <v>1610</v>
      </c>
      <c r="AA123" s="331" t="s">
        <v>4449</v>
      </c>
      <c r="AB123" s="331" t="s">
        <v>4141</v>
      </c>
      <c r="AH123" s="286" t="s">
        <v>4767</v>
      </c>
      <c r="AI123" s="351" t="s">
        <v>4252</v>
      </c>
    </row>
    <row r="124" spans="1:35">
      <c r="A124" s="579"/>
      <c r="B124" s="335"/>
      <c r="C124" s="409"/>
      <c r="D124" s="287"/>
      <c r="E124" s="411"/>
      <c r="F124" s="411"/>
      <c r="G124" s="287"/>
      <c r="H124" s="287"/>
      <c r="I124" s="411"/>
      <c r="J124" s="411"/>
      <c r="K124" s="411"/>
      <c r="L124" s="411"/>
      <c r="M124" s="352"/>
      <c r="N124" s="351"/>
      <c r="O124" s="351"/>
      <c r="P124" s="351"/>
      <c r="AA124" s="331" t="s">
        <v>4489</v>
      </c>
      <c r="AB124" s="331" t="s">
        <v>956</v>
      </c>
      <c r="AH124" s="286" t="s">
        <v>1620</v>
      </c>
      <c r="AI124" s="351" t="s">
        <v>4254</v>
      </c>
    </row>
    <row r="125" spans="1:35">
      <c r="A125" s="579"/>
      <c r="B125" s="338" t="str">
        <f t="shared" si="10"/>
        <v>Master  Ligne vertical</v>
      </c>
      <c r="C125" s="323">
        <f t="shared" si="7"/>
        <v>64.203995209580839</v>
      </c>
      <c r="D125" s="287"/>
      <c r="E125" s="411">
        <v>1847.3831999999998</v>
      </c>
      <c r="F125" s="411"/>
      <c r="G125" s="287">
        <v>64.203995209580839</v>
      </c>
      <c r="H125" s="287"/>
      <c r="I125" s="411">
        <v>292.20047999999997</v>
      </c>
      <c r="J125" s="411"/>
      <c r="K125" s="411">
        <v>26291.032258064515</v>
      </c>
      <c r="L125" s="411"/>
      <c r="M125" s="352" t="s">
        <v>4712</v>
      </c>
      <c r="N125" s="351" t="s">
        <v>4673</v>
      </c>
      <c r="O125" s="351" t="s">
        <v>4265</v>
      </c>
      <c r="P125" s="351" t="s">
        <v>4760</v>
      </c>
      <c r="Q125" s="286" t="s">
        <v>4770</v>
      </c>
      <c r="R125" s="487" t="s">
        <v>4918</v>
      </c>
      <c r="T125" s="286">
        <v>2700</v>
      </c>
      <c r="U125" s="286">
        <v>1605</v>
      </c>
      <c r="AA125" s="331" t="s">
        <v>4493</v>
      </c>
      <c r="AB125" s="331" t="s">
        <v>4142</v>
      </c>
      <c r="AH125" s="286" t="s">
        <v>1621</v>
      </c>
      <c r="AI125" s="351" t="s">
        <v>4255</v>
      </c>
    </row>
    <row r="126" spans="1:35">
      <c r="A126" s="579"/>
      <c r="B126" s="338" t="str">
        <f t="shared" si="10"/>
        <v>Lacobel RAL 1013</v>
      </c>
      <c r="C126" s="323">
        <f t="shared" si="7"/>
        <v>82.695664670658687</v>
      </c>
      <c r="D126" s="287"/>
      <c r="E126" s="411">
        <v>2379.4559999999997</v>
      </c>
      <c r="F126" s="411"/>
      <c r="G126" s="287">
        <v>82.695664670658687</v>
      </c>
      <c r="H126" s="287"/>
      <c r="I126" s="411">
        <v>376.35839999999996</v>
      </c>
      <c r="J126" s="411"/>
      <c r="K126" s="411">
        <v>33863.225806451606</v>
      </c>
      <c r="L126" s="411"/>
      <c r="M126" s="352" t="s">
        <v>48</v>
      </c>
      <c r="N126" s="352" t="s">
        <v>48</v>
      </c>
      <c r="O126" s="351" t="s">
        <v>4266</v>
      </c>
      <c r="P126" s="352" t="s">
        <v>48</v>
      </c>
      <c r="Q126" s="286" t="s">
        <v>48</v>
      </c>
      <c r="R126" s="487" t="s">
        <v>48</v>
      </c>
      <c r="T126" s="286">
        <v>2550</v>
      </c>
      <c r="U126" s="286">
        <v>1605</v>
      </c>
      <c r="AA126" s="331" t="s">
        <v>4497</v>
      </c>
      <c r="AB126" s="331" t="s">
        <v>4143</v>
      </c>
      <c r="AH126" s="286" t="s">
        <v>1622</v>
      </c>
      <c r="AI126" s="351" t="s">
        <v>4256</v>
      </c>
    </row>
    <row r="127" spans="1:35">
      <c r="A127" s="579"/>
      <c r="B127" s="338" t="str">
        <f t="shared" si="10"/>
        <v>Lacobel RAL 1015</v>
      </c>
      <c r="C127" s="323">
        <f t="shared" si="7"/>
        <v>68.913053892215572</v>
      </c>
      <c r="D127" s="287"/>
      <c r="E127" s="411">
        <v>1982.8799999999997</v>
      </c>
      <c r="F127" s="411"/>
      <c r="G127" s="287">
        <v>68.913053892215572</v>
      </c>
      <c r="H127" s="287"/>
      <c r="I127" s="411">
        <v>313.63200000000001</v>
      </c>
      <c r="J127" s="411"/>
      <c r="K127" s="411">
        <v>28219.354838709674</v>
      </c>
      <c r="L127" s="411"/>
      <c r="M127" s="352" t="s">
        <v>32</v>
      </c>
      <c r="N127" s="352" t="s">
        <v>32</v>
      </c>
      <c r="O127" s="351" t="s">
        <v>4267</v>
      </c>
      <c r="P127" s="352" t="s">
        <v>32</v>
      </c>
      <c r="Q127" s="286" t="s">
        <v>32</v>
      </c>
      <c r="R127" s="487" t="s">
        <v>32</v>
      </c>
      <c r="T127" s="286">
        <v>2550</v>
      </c>
      <c r="U127" s="286">
        <v>1605</v>
      </c>
      <c r="AA127" s="331" t="s">
        <v>4450</v>
      </c>
      <c r="AB127" s="331" t="s">
        <v>4144</v>
      </c>
      <c r="AH127" s="286" t="s">
        <v>1623</v>
      </c>
      <c r="AI127" s="351" t="s">
        <v>4257</v>
      </c>
    </row>
    <row r="128" spans="1:35">
      <c r="A128" s="579"/>
      <c r="B128" s="338" t="str">
        <f t="shared" si="10"/>
        <v>FLUTES vertical</v>
      </c>
      <c r="C128" s="323">
        <f t="shared" si="7"/>
        <v>99.062514970059908</v>
      </c>
      <c r="D128" s="287"/>
      <c r="E128" s="411">
        <v>2850.3900000000003</v>
      </c>
      <c r="F128" s="411"/>
      <c r="G128" s="287">
        <v>99.062514970059908</v>
      </c>
      <c r="H128" s="287"/>
      <c r="I128" s="411">
        <v>450.846</v>
      </c>
      <c r="J128" s="411"/>
      <c r="K128" s="411">
        <v>40565.322580645166</v>
      </c>
      <c r="L128" s="411"/>
      <c r="M128" s="352" t="s">
        <v>4713</v>
      </c>
      <c r="N128" s="351" t="s">
        <v>4742</v>
      </c>
      <c r="O128" s="351" t="s">
        <v>4268</v>
      </c>
      <c r="P128" s="351" t="s">
        <v>4761</v>
      </c>
      <c r="Q128" s="286" t="s">
        <v>4771</v>
      </c>
      <c r="R128" s="487" t="s">
        <v>4771</v>
      </c>
      <c r="T128" s="286">
        <v>2550</v>
      </c>
      <c r="U128" s="286">
        <v>1605</v>
      </c>
      <c r="AA128" s="331" t="s">
        <v>4451</v>
      </c>
      <c r="AB128" s="331" t="s">
        <v>4145</v>
      </c>
      <c r="AH128" s="286" t="s">
        <v>4768</v>
      </c>
      <c r="AI128" s="351" t="s">
        <v>4258</v>
      </c>
    </row>
    <row r="129" spans="1:35">
      <c r="A129" s="579"/>
      <c r="B129" s="338" t="str">
        <f t="shared" si="10"/>
        <v>VISIOSUN vertical</v>
      </c>
      <c r="C129" s="323">
        <f t="shared" si="7"/>
        <v>74.081532934131729</v>
      </c>
      <c r="D129" s="287"/>
      <c r="E129" s="411">
        <v>2131.5959999999995</v>
      </c>
      <c r="F129" s="411"/>
      <c r="G129" s="287">
        <v>74.081532934131729</v>
      </c>
      <c r="H129" s="287"/>
      <c r="I129" s="411">
        <v>337.15439999999995</v>
      </c>
      <c r="J129" s="411"/>
      <c r="K129" s="411">
        <v>30335.806451612902</v>
      </c>
      <c r="L129" s="411"/>
      <c r="M129" s="351" t="s">
        <v>4671</v>
      </c>
      <c r="N129" s="351" t="s">
        <v>4743</v>
      </c>
      <c r="O129" s="351" t="s">
        <v>4269</v>
      </c>
      <c r="P129" s="351" t="s">
        <v>4762</v>
      </c>
      <c r="Q129" s="286" t="s">
        <v>4772</v>
      </c>
      <c r="R129" s="487" t="s">
        <v>4772</v>
      </c>
      <c r="T129" s="286">
        <v>3210</v>
      </c>
      <c r="U129" s="286">
        <v>2000</v>
      </c>
      <c r="AA129" s="331" t="s">
        <v>4452</v>
      </c>
      <c r="AB129" s="331" t="s">
        <v>4146</v>
      </c>
      <c r="AH129" s="286" t="s">
        <v>4769</v>
      </c>
      <c r="AI129" s="351" t="s">
        <v>3605</v>
      </c>
    </row>
    <row r="130" spans="1:35">
      <c r="A130" s="579"/>
      <c r="B130" s="338" t="str">
        <f t="shared" si="10"/>
        <v>VISIOSUN sateen vertical</v>
      </c>
      <c r="C130" s="323">
        <f t="shared" si="7"/>
        <v>107.67664670658684</v>
      </c>
      <c r="D130" s="287"/>
      <c r="E130" s="411">
        <v>3098.25</v>
      </c>
      <c r="F130" s="411"/>
      <c r="G130" s="287">
        <v>107.67664670658684</v>
      </c>
      <c r="H130" s="409"/>
      <c r="I130" s="411">
        <v>504.42750000000001</v>
      </c>
      <c r="J130" s="411"/>
      <c r="K130" s="411">
        <v>44092.741935483871</v>
      </c>
      <c r="L130" s="411"/>
      <c r="M130" s="351" t="s">
        <v>4672</v>
      </c>
      <c r="N130" s="351" t="s">
        <v>4776</v>
      </c>
      <c r="O130" s="351" t="s">
        <v>4678</v>
      </c>
      <c r="P130" s="351" t="s">
        <v>4777</v>
      </c>
      <c r="Q130" s="286" t="s">
        <v>4778</v>
      </c>
      <c r="R130" s="487" t="s">
        <v>4919</v>
      </c>
      <c r="T130" s="286">
        <v>2000</v>
      </c>
      <c r="U130" s="286">
        <v>1605</v>
      </c>
      <c r="AA130" s="331" t="s">
        <v>4453</v>
      </c>
      <c r="AB130" s="331" t="s">
        <v>4147</v>
      </c>
      <c r="AH130" s="286" t="s">
        <v>1628</v>
      </c>
      <c r="AI130" s="351" t="s">
        <v>4262</v>
      </c>
    </row>
    <row r="131" spans="1:35">
      <c r="A131" s="579"/>
      <c r="B131" s="338" t="str">
        <f t="shared" si="10"/>
        <v>VISIOSUN sateen horizont</v>
      </c>
      <c r="C131" s="323">
        <f t="shared" si="7"/>
        <v>107.67664670658684</v>
      </c>
      <c r="D131" s="287"/>
      <c r="E131" s="411">
        <v>3098.25</v>
      </c>
      <c r="F131" s="411"/>
      <c r="G131" s="287">
        <v>107.67664670658684</v>
      </c>
      <c r="H131" s="409"/>
      <c r="I131" s="411">
        <v>504.42750000000001</v>
      </c>
      <c r="J131" s="411"/>
      <c r="K131" s="411">
        <v>44092.741935483871</v>
      </c>
      <c r="L131" s="411"/>
      <c r="M131" s="351" t="s">
        <v>4779</v>
      </c>
      <c r="N131" s="351" t="s">
        <v>4779</v>
      </c>
      <c r="O131" s="351" t="s">
        <v>4679</v>
      </c>
      <c r="P131" s="351" t="s">
        <v>4780</v>
      </c>
      <c r="Q131" s="286" t="s">
        <v>4781</v>
      </c>
      <c r="R131" s="487" t="s">
        <v>4920</v>
      </c>
      <c r="T131" s="286">
        <v>2000</v>
      </c>
      <c r="U131" s="286">
        <v>1605</v>
      </c>
      <c r="AA131" s="332" t="s">
        <v>4501</v>
      </c>
      <c r="AB131" s="332" t="s">
        <v>4148</v>
      </c>
      <c r="AH131" s="286" t="s">
        <v>4770</v>
      </c>
      <c r="AI131" s="351" t="s">
        <v>4265</v>
      </c>
    </row>
    <row r="132" spans="1:35">
      <c r="A132" s="579"/>
      <c r="B132" s="335"/>
      <c r="C132" s="409"/>
      <c r="D132" s="287"/>
      <c r="E132" s="411" t="e">
        <v>#N/A</v>
      </c>
      <c r="G132" s="287" t="e">
        <v>#N/A</v>
      </c>
      <c r="I132" s="411"/>
      <c r="K132" s="411" t="e">
        <v>#N/A</v>
      </c>
      <c r="M132" s="352"/>
      <c r="N132" s="352"/>
      <c r="O132" s="351"/>
      <c r="P132" s="352"/>
      <c r="R132" s="487"/>
      <c r="T132" s="286">
        <v>2550</v>
      </c>
      <c r="U132" s="286">
        <v>1605</v>
      </c>
      <c r="AA132" s="331" t="s">
        <v>4454</v>
      </c>
      <c r="AB132" s="331" t="s">
        <v>4149</v>
      </c>
      <c r="AH132" s="286" t="s">
        <v>4771</v>
      </c>
      <c r="AI132" s="351" t="s">
        <v>4268</v>
      </c>
    </row>
    <row r="133" spans="1:35">
      <c r="A133" s="579"/>
      <c r="B133" s="338" t="str">
        <f t="shared" si="10"/>
        <v>Lacobel RAL 7035</v>
      </c>
      <c r="C133" s="323">
        <f t="shared" si="7"/>
        <v>68.913053892215572</v>
      </c>
      <c r="D133" s="287"/>
      <c r="E133" s="411">
        <v>1982.8799999999997</v>
      </c>
      <c r="F133" s="411"/>
      <c r="G133" s="287">
        <v>68.913053892215572</v>
      </c>
      <c r="I133" s="411">
        <v>313.63200000000001</v>
      </c>
      <c r="J133" s="411"/>
      <c r="K133" s="411">
        <v>28219.354838709674</v>
      </c>
      <c r="L133" s="411"/>
      <c r="M133" s="352" t="s">
        <v>43</v>
      </c>
      <c r="N133" s="352" t="s">
        <v>43</v>
      </c>
      <c r="O133" s="351" t="s">
        <v>4270</v>
      </c>
      <c r="P133" s="352" t="s">
        <v>43</v>
      </c>
      <c r="Q133" s="286" t="s">
        <v>43</v>
      </c>
      <c r="R133" s="487" t="s">
        <v>43</v>
      </c>
      <c r="T133" s="286">
        <v>2550</v>
      </c>
      <c r="U133" s="286">
        <v>1605</v>
      </c>
      <c r="AA133" s="331" t="s">
        <v>4455</v>
      </c>
      <c r="AB133" s="331" t="s">
        <v>4150</v>
      </c>
      <c r="AH133" s="286" t="s">
        <v>4772</v>
      </c>
      <c r="AI133" s="351" t="s">
        <v>4269</v>
      </c>
    </row>
    <row r="134" spans="1:35">
      <c r="A134" s="579"/>
      <c r="B134" s="335"/>
      <c r="C134" s="409"/>
      <c r="D134" s="287"/>
      <c r="E134" s="411" t="e">
        <v>#N/A</v>
      </c>
      <c r="G134" s="287" t="e">
        <v>#N/A</v>
      </c>
      <c r="I134" s="411" t="e">
        <v>#N/A</v>
      </c>
      <c r="K134" s="411" t="e">
        <v>#N/A</v>
      </c>
      <c r="M134" s="352"/>
      <c r="N134" s="352"/>
      <c r="O134" s="351"/>
      <c r="P134" s="352"/>
      <c r="R134" s="487"/>
      <c r="T134" s="286">
        <v>2550</v>
      </c>
      <c r="U134" s="286">
        <v>1605</v>
      </c>
      <c r="AA134" s="331" t="s">
        <v>4458</v>
      </c>
      <c r="AB134" s="331" t="s">
        <v>4151</v>
      </c>
      <c r="AH134" s="286" t="s">
        <v>4773</v>
      </c>
      <c r="AI134" s="351" t="s">
        <v>4276</v>
      </c>
    </row>
    <row r="135" spans="1:35">
      <c r="A135" s="579"/>
      <c r="B135" s="338" t="str">
        <f t="shared" si="10"/>
        <v>Lacobel RAL 9003</v>
      </c>
      <c r="C135" s="323">
        <f t="shared" si="7"/>
        <v>82.695664670658687</v>
      </c>
      <c r="D135" s="287"/>
      <c r="E135" s="411">
        <v>2379.4559999999997</v>
      </c>
      <c r="F135" s="411"/>
      <c r="G135" s="287">
        <v>82.695664670658687</v>
      </c>
      <c r="H135" s="287"/>
      <c r="I135" s="411">
        <v>376.35839999999996</v>
      </c>
      <c r="J135" s="411"/>
      <c r="K135" s="411">
        <v>33863.225806451606</v>
      </c>
      <c r="L135" s="411"/>
      <c r="M135" s="352" t="s">
        <v>50</v>
      </c>
      <c r="N135" s="352" t="s">
        <v>50</v>
      </c>
      <c r="O135" s="351" t="s">
        <v>4271</v>
      </c>
      <c r="P135" s="352" t="s">
        <v>50</v>
      </c>
      <c r="Q135" s="286" t="s">
        <v>50</v>
      </c>
      <c r="R135" s="487" t="s">
        <v>4908</v>
      </c>
      <c r="T135" s="286">
        <v>2550</v>
      </c>
      <c r="U135" s="286">
        <v>1605</v>
      </c>
      <c r="AA135" s="331" t="s">
        <v>4505</v>
      </c>
      <c r="AB135" s="331" t="s">
        <v>4152</v>
      </c>
      <c r="AH135" s="286" t="s">
        <v>4774</v>
      </c>
      <c r="AI135" s="351" t="s">
        <v>4277</v>
      </c>
    </row>
    <row r="136" spans="1:35">
      <c r="A136" s="579"/>
      <c r="B136" s="338" t="str">
        <f t="shared" si="10"/>
        <v>Lacobel RAL 9005</v>
      </c>
      <c r="C136" s="323">
        <f t="shared" si="7"/>
        <v>62.710879041916165</v>
      </c>
      <c r="D136" s="287"/>
      <c r="E136" s="411">
        <v>1804.4207999999999</v>
      </c>
      <c r="F136" s="411"/>
      <c r="G136" s="287">
        <v>62.710879041916165</v>
      </c>
      <c r="H136" s="409"/>
      <c r="I136" s="411">
        <v>285.40511999999995</v>
      </c>
      <c r="J136" s="411"/>
      <c r="K136" s="411">
        <v>25679.612903225803</v>
      </c>
      <c r="L136" s="411"/>
      <c r="M136" s="352" t="s">
        <v>52</v>
      </c>
      <c r="N136" s="352" t="s">
        <v>52</v>
      </c>
      <c r="O136" s="351" t="s">
        <v>4272</v>
      </c>
      <c r="P136" s="352" t="s">
        <v>52</v>
      </c>
      <c r="Q136" s="286" t="s">
        <v>52</v>
      </c>
      <c r="R136" s="487" t="s">
        <v>52</v>
      </c>
      <c r="T136" s="286">
        <v>2550</v>
      </c>
      <c r="U136" s="286">
        <v>1605</v>
      </c>
      <c r="AA136" s="332" t="s">
        <v>4509</v>
      </c>
      <c r="AB136" s="332" t="s">
        <v>4153</v>
      </c>
      <c r="AH136" s="286" t="s">
        <v>4682</v>
      </c>
      <c r="AI136" s="351" t="s">
        <v>4278</v>
      </c>
    </row>
    <row r="137" spans="1:35">
      <c r="A137" s="579"/>
      <c r="B137" s="338" t="str">
        <f t="shared" si="10"/>
        <v>Lacobel RAL 9006</v>
      </c>
      <c r="C137" s="323">
        <f t="shared" si="7"/>
        <v>82.695664670658687</v>
      </c>
      <c r="D137" s="287"/>
      <c r="E137" s="411">
        <v>2379.4559999999997</v>
      </c>
      <c r="F137" s="411"/>
      <c r="G137" s="287">
        <v>82.695664670658687</v>
      </c>
      <c r="H137" s="409"/>
      <c r="I137" s="411">
        <v>376.35839999999996</v>
      </c>
      <c r="J137" s="411"/>
      <c r="K137" s="411">
        <v>33863.225806451606</v>
      </c>
      <c r="L137" s="411"/>
      <c r="M137" s="352" t="s">
        <v>51</v>
      </c>
      <c r="N137" s="352" t="s">
        <v>51</v>
      </c>
      <c r="O137" s="351" t="s">
        <v>4273</v>
      </c>
      <c r="P137" s="352" t="s">
        <v>51</v>
      </c>
      <c r="Q137" s="286" t="s">
        <v>51</v>
      </c>
      <c r="R137" s="487" t="s">
        <v>51</v>
      </c>
      <c r="T137" s="286">
        <v>2550</v>
      </c>
      <c r="U137" s="286">
        <v>1605</v>
      </c>
      <c r="AA137" s="331" t="s">
        <v>4461</v>
      </c>
      <c r="AB137" s="331" t="s">
        <v>4154</v>
      </c>
      <c r="AH137" s="286" t="s">
        <v>4683</v>
      </c>
      <c r="AI137" s="351" t="s">
        <v>4279</v>
      </c>
    </row>
    <row r="138" spans="1:35">
      <c r="A138" s="579"/>
      <c r="B138" s="338" t="str">
        <f t="shared" si="10"/>
        <v>Lacobel RAL 9007</v>
      </c>
      <c r="C138" s="323">
        <f t="shared" si="7"/>
        <v>82.695664670658687</v>
      </c>
      <c r="D138" s="287"/>
      <c r="E138" s="411">
        <v>2379.4559999999997</v>
      </c>
      <c r="F138" s="411"/>
      <c r="G138" s="287">
        <v>82.695664670658687</v>
      </c>
      <c r="H138" s="409"/>
      <c r="I138" s="411">
        <v>376.35839999999996</v>
      </c>
      <c r="J138" s="411"/>
      <c r="K138" s="411">
        <v>33863.225806451606</v>
      </c>
      <c r="L138" s="411"/>
      <c r="M138" s="352" t="s">
        <v>969</v>
      </c>
      <c r="N138" s="352" t="s">
        <v>969</v>
      </c>
      <c r="O138" s="351" t="s">
        <v>4274</v>
      </c>
      <c r="P138" s="352" t="s">
        <v>969</v>
      </c>
      <c r="Q138" s="286" t="s">
        <v>969</v>
      </c>
      <c r="R138" s="487" t="s">
        <v>969</v>
      </c>
      <c r="T138" s="286">
        <v>2550</v>
      </c>
      <c r="U138" s="286">
        <v>1605</v>
      </c>
      <c r="AA138" s="331" t="s">
        <v>4462</v>
      </c>
      <c r="AB138" s="331" t="s">
        <v>4155</v>
      </c>
      <c r="AH138" s="286" t="s">
        <v>1631</v>
      </c>
      <c r="AI138" s="351" t="s">
        <v>4282</v>
      </c>
    </row>
    <row r="139" spans="1:35">
      <c r="A139" s="579"/>
      <c r="B139" s="338" t="str">
        <f t="shared" si="10"/>
        <v>Lacobel RAL 9010</v>
      </c>
      <c r="C139" s="323">
        <f t="shared" si="7"/>
        <v>62.710879041916165</v>
      </c>
      <c r="D139" s="287"/>
      <c r="E139" s="411">
        <v>1804.4207999999999</v>
      </c>
      <c r="F139" s="411"/>
      <c r="G139" s="287">
        <v>62.710879041916165</v>
      </c>
      <c r="H139" s="409"/>
      <c r="I139" s="411">
        <v>285.40511999999995</v>
      </c>
      <c r="J139" s="411"/>
      <c r="K139" s="411">
        <v>25679.612903225803</v>
      </c>
      <c r="L139" s="411"/>
      <c r="M139" s="352" t="s">
        <v>34</v>
      </c>
      <c r="N139" s="352" t="s">
        <v>34</v>
      </c>
      <c r="O139" s="351" t="s">
        <v>4275</v>
      </c>
      <c r="P139" s="352" t="s">
        <v>34</v>
      </c>
      <c r="Q139" s="286" t="s">
        <v>34</v>
      </c>
      <c r="R139" s="487" t="s">
        <v>34</v>
      </c>
      <c r="T139" s="286">
        <v>2550</v>
      </c>
      <c r="U139" s="286">
        <v>1605</v>
      </c>
      <c r="AA139" s="331" t="s">
        <v>4463</v>
      </c>
      <c r="AB139" s="331" t="s">
        <v>4156</v>
      </c>
      <c r="AH139" s="286" t="s">
        <v>1632</v>
      </c>
      <c r="AI139" s="351" t="s">
        <v>4284</v>
      </c>
    </row>
    <row r="140" spans="1:35">
      <c r="A140" s="579"/>
      <c r="B140" s="338" t="str">
        <f t="shared" si="10"/>
        <v>Moru brown vertical</v>
      </c>
      <c r="C140" s="323">
        <f t="shared" si="7"/>
        <v>107.67664670658684</v>
      </c>
      <c r="D140" s="287"/>
      <c r="E140" s="411">
        <v>3098.25</v>
      </c>
      <c r="F140" s="411"/>
      <c r="G140" s="287">
        <v>107.67664670658684</v>
      </c>
      <c r="H140" s="409"/>
      <c r="I140" s="411">
        <v>490.05</v>
      </c>
      <c r="J140" s="411"/>
      <c r="K140" s="411">
        <v>44092.741935483871</v>
      </c>
      <c r="L140" s="411"/>
      <c r="M140" s="352" t="s">
        <v>4714</v>
      </c>
      <c r="N140" s="352" t="s">
        <v>4744</v>
      </c>
      <c r="O140" s="351" t="s">
        <v>4276</v>
      </c>
      <c r="P140" s="352" t="s">
        <v>4763</v>
      </c>
      <c r="Q140" s="286" t="s">
        <v>4773</v>
      </c>
      <c r="R140" s="487" t="s">
        <v>4921</v>
      </c>
      <c r="T140" s="286">
        <v>2440</v>
      </c>
      <c r="U140" s="286">
        <v>2100</v>
      </c>
      <c r="AA140" s="331" t="s">
        <v>4464</v>
      </c>
      <c r="AB140" s="331" t="s">
        <v>4157</v>
      </c>
      <c r="AH140" s="286" t="s">
        <v>4775</v>
      </c>
      <c r="AI140" s="351" t="s">
        <v>4285</v>
      </c>
    </row>
    <row r="141" spans="1:35">
      <c r="A141" s="579"/>
      <c r="B141" s="338" t="str">
        <f t="shared" si="10"/>
        <v xml:space="preserve">Moru graphite vertical </v>
      </c>
      <c r="C141" s="323">
        <f t="shared" si="7"/>
        <v>107.67664670658684</v>
      </c>
      <c r="D141" s="287"/>
      <c r="E141" s="411">
        <v>3098.25</v>
      </c>
      <c r="F141" s="411"/>
      <c r="G141" s="287">
        <v>107.67664670658684</v>
      </c>
      <c r="H141" s="409"/>
      <c r="I141" s="411">
        <v>490.05</v>
      </c>
      <c r="J141" s="411"/>
      <c r="K141" s="411">
        <v>44092.741935483871</v>
      </c>
      <c r="L141" s="411"/>
      <c r="M141" s="352" t="s">
        <v>4715</v>
      </c>
      <c r="N141" s="352" t="s">
        <v>4745</v>
      </c>
      <c r="O141" s="351" t="s">
        <v>4277</v>
      </c>
      <c r="P141" s="352" t="s">
        <v>4680</v>
      </c>
      <c r="Q141" s="286" t="s">
        <v>4681</v>
      </c>
      <c r="R141" s="487" t="s">
        <v>4774</v>
      </c>
      <c r="T141" s="286">
        <v>2440</v>
      </c>
      <c r="U141" s="286">
        <v>2100</v>
      </c>
      <c r="AA141" s="331" t="s">
        <v>4465</v>
      </c>
      <c r="AB141" s="331" t="s">
        <v>4158</v>
      </c>
      <c r="AH141" s="351" t="s">
        <v>4672</v>
      </c>
      <c r="AI141" s="286" t="s">
        <v>4620</v>
      </c>
    </row>
    <row r="142" spans="1:35">
      <c r="A142" s="579"/>
      <c r="B142" s="335"/>
      <c r="C142" s="409"/>
      <c r="D142" s="287"/>
      <c r="E142" s="411"/>
      <c r="G142" s="287"/>
      <c r="I142" s="411"/>
      <c r="K142" s="411"/>
      <c r="M142" s="352" t="s">
        <v>44</v>
      </c>
      <c r="N142" s="352" t="s">
        <v>44</v>
      </c>
      <c r="O142" s="351" t="s">
        <v>44</v>
      </c>
      <c r="P142" s="352" t="s">
        <v>44</v>
      </c>
      <c r="Q142" s="286" t="s">
        <v>44</v>
      </c>
      <c r="R142" s="487" t="s">
        <v>44</v>
      </c>
      <c r="AA142" s="331" t="s">
        <v>4466</v>
      </c>
      <c r="AB142" s="331" t="s">
        <v>4159</v>
      </c>
      <c r="AH142" s="351" t="s">
        <v>4776</v>
      </c>
      <c r="AI142" s="286" t="s">
        <v>4620</v>
      </c>
    </row>
    <row r="143" spans="1:35">
      <c r="A143" s="579"/>
      <c r="B143" s="335"/>
      <c r="C143" s="409"/>
      <c r="D143" s="287"/>
      <c r="E143" s="411"/>
      <c r="G143" s="287"/>
      <c r="I143" s="411"/>
      <c r="K143" s="411"/>
      <c r="M143" s="352" t="s">
        <v>45</v>
      </c>
      <c r="N143" s="352" t="s">
        <v>45</v>
      </c>
      <c r="O143" s="351" t="s">
        <v>45</v>
      </c>
      <c r="P143" s="352" t="s">
        <v>45</v>
      </c>
      <c r="Q143" s="286" t="s">
        <v>45</v>
      </c>
      <c r="R143" s="487" t="s">
        <v>45</v>
      </c>
      <c r="AA143" s="331" t="s">
        <v>4467</v>
      </c>
      <c r="AB143" s="331" t="s">
        <v>4160</v>
      </c>
      <c r="AH143" s="351" t="s">
        <v>4620</v>
      </c>
      <c r="AI143" s="286" t="s">
        <v>4620</v>
      </c>
    </row>
    <row r="144" spans="1:35">
      <c r="A144" s="579"/>
      <c r="B144" s="338" t="str">
        <f t="shared" ref="B144:B145" si="11">IF($D$1=1,M144,
IF($D$1=2,N144,
IF($D$1=3,O144,
IF($D$1=4,P144,
IF($D$1=5,Q144,
IF($D$1=6,R144,0))))))</f>
        <v>Moru brown horizontal</v>
      </c>
      <c r="C144" s="323">
        <f t="shared" ref="C144:C145" si="12">IF($D$1=1,E144,IF(OR($D$1=2,$D$1=5),G144,IF($D$1=3,I144,IF($D$1=4,K144,IF($D$1=6,G144*1.3,0)))))</f>
        <v>107.67664670658684</v>
      </c>
      <c r="D144" s="287"/>
      <c r="E144" s="411">
        <v>3098.25</v>
      </c>
      <c r="F144" s="411"/>
      <c r="G144" s="287">
        <v>107.67664670658684</v>
      </c>
      <c r="H144" s="409"/>
      <c r="I144" s="411">
        <v>490.05</v>
      </c>
      <c r="J144" s="411"/>
      <c r="K144" s="411">
        <v>44092.741935483871</v>
      </c>
      <c r="L144" s="411"/>
      <c r="M144" s="352" t="s">
        <v>4716</v>
      </c>
      <c r="N144" s="352" t="s">
        <v>4674</v>
      </c>
      <c r="O144" s="351" t="s">
        <v>4278</v>
      </c>
      <c r="P144" s="352" t="s">
        <v>4764</v>
      </c>
      <c r="Q144" s="286" t="s">
        <v>4682</v>
      </c>
      <c r="R144" s="487" t="s">
        <v>4922</v>
      </c>
      <c r="T144" s="286">
        <v>2440</v>
      </c>
      <c r="U144" s="286">
        <v>2100</v>
      </c>
      <c r="AA144" s="331" t="s">
        <v>4468</v>
      </c>
      <c r="AB144" s="331" t="s">
        <v>4161</v>
      </c>
      <c r="AH144" s="351" t="s">
        <v>4777</v>
      </c>
      <c r="AI144" s="286" t="s">
        <v>4620</v>
      </c>
    </row>
    <row r="145" spans="1:35">
      <c r="A145" s="579"/>
      <c r="B145" s="338" t="str">
        <f t="shared" si="11"/>
        <v>Moru graphite horizontal</v>
      </c>
      <c r="C145" s="323">
        <f t="shared" si="12"/>
        <v>107.67664670658684</v>
      </c>
      <c r="D145" s="287"/>
      <c r="E145" s="411">
        <v>3098.25</v>
      </c>
      <c r="F145" s="411"/>
      <c r="G145" s="287">
        <v>107.67664670658684</v>
      </c>
      <c r="H145" s="409"/>
      <c r="I145" s="411">
        <v>490.05</v>
      </c>
      <c r="J145" s="411"/>
      <c r="K145" s="411">
        <v>44092.741935483871</v>
      </c>
      <c r="L145" s="411"/>
      <c r="M145" s="352" t="s">
        <v>4717</v>
      </c>
      <c r="N145" s="352" t="s">
        <v>4675</v>
      </c>
      <c r="O145" s="351" t="s">
        <v>4279</v>
      </c>
      <c r="P145" s="352" t="s">
        <v>4765</v>
      </c>
      <c r="Q145" s="286" t="s">
        <v>4683</v>
      </c>
      <c r="R145" s="487" t="s">
        <v>4683</v>
      </c>
      <c r="T145" s="286">
        <v>2440</v>
      </c>
      <c r="U145" s="286">
        <v>2100</v>
      </c>
      <c r="AA145" s="331" t="s">
        <v>4469</v>
      </c>
      <c r="AB145" s="331" t="s">
        <v>4162</v>
      </c>
      <c r="AH145" s="286" t="s">
        <v>4778</v>
      </c>
      <c r="AI145" s="286" t="s">
        <v>4620</v>
      </c>
    </row>
    <row r="146" spans="1:35">
      <c r="A146" s="579"/>
      <c r="B146" s="335"/>
      <c r="C146" s="409"/>
      <c r="D146" s="287"/>
      <c r="E146" s="411" t="e">
        <v>#N/A</v>
      </c>
      <c r="G146" s="287" t="e">
        <v>#N/A</v>
      </c>
      <c r="I146" s="411" t="e">
        <v>#N/A</v>
      </c>
      <c r="K146" s="411" t="e">
        <v>#N/A</v>
      </c>
      <c r="M146" s="352" t="s">
        <v>42</v>
      </c>
      <c r="N146" s="352" t="s">
        <v>42</v>
      </c>
      <c r="O146" s="351" t="s">
        <v>42</v>
      </c>
      <c r="P146" s="352" t="s">
        <v>42</v>
      </c>
      <c r="Q146" s="286" t="s">
        <v>42</v>
      </c>
      <c r="R146" s="487" t="s">
        <v>42</v>
      </c>
      <c r="AA146" s="331" t="s">
        <v>4470</v>
      </c>
      <c r="AB146" s="331" t="s">
        <v>4163</v>
      </c>
      <c r="AH146" s="351" t="s">
        <v>4779</v>
      </c>
      <c r="AI146" s="286" t="s">
        <v>4621</v>
      </c>
    </row>
    <row r="147" spans="1:35">
      <c r="A147" s="579"/>
      <c r="B147" s="335"/>
      <c r="C147" s="409"/>
      <c r="D147" s="287"/>
      <c r="E147" s="411" t="e">
        <v>#N/A</v>
      </c>
      <c r="G147" s="287" t="e">
        <v>#N/A</v>
      </c>
      <c r="I147" s="411" t="e">
        <v>#N/A</v>
      </c>
      <c r="K147" s="411" t="e">
        <v>#N/A</v>
      </c>
      <c r="M147" s="352" t="s">
        <v>4782</v>
      </c>
      <c r="N147" s="352"/>
      <c r="O147" s="351"/>
      <c r="P147" s="352"/>
      <c r="R147" s="487"/>
      <c r="T147" s="286">
        <v>2550</v>
      </c>
      <c r="U147" s="286">
        <v>1605</v>
      </c>
      <c r="AA147" s="331" t="s">
        <v>4471</v>
      </c>
      <c r="AB147" s="331" t="s">
        <v>4164</v>
      </c>
      <c r="AH147" s="351" t="s">
        <v>4621</v>
      </c>
      <c r="AI147" s="286" t="s">
        <v>4621</v>
      </c>
    </row>
    <row r="148" spans="1:35">
      <c r="A148" s="579"/>
      <c r="B148" s="335"/>
      <c r="C148" s="409"/>
      <c r="D148" s="287"/>
      <c r="E148" s="411" t="e">
        <v>#N/A</v>
      </c>
      <c r="G148" s="287" t="e">
        <v>#N/A</v>
      </c>
      <c r="I148" s="411" t="e">
        <v>#N/A</v>
      </c>
      <c r="K148" s="411" t="e">
        <v>#N/A</v>
      </c>
      <c r="M148" s="352" t="s">
        <v>54</v>
      </c>
      <c r="N148" s="352" t="s">
        <v>54</v>
      </c>
      <c r="O148" s="351" t="s">
        <v>54</v>
      </c>
      <c r="P148" s="352" t="s">
        <v>54</v>
      </c>
      <c r="Q148" s="286" t="s">
        <v>54</v>
      </c>
      <c r="R148" s="487" t="s">
        <v>54</v>
      </c>
      <c r="AA148" s="362" t="s">
        <v>4472</v>
      </c>
      <c r="AB148" s="362" t="s">
        <v>4165</v>
      </c>
      <c r="AH148" s="351" t="s">
        <v>4780</v>
      </c>
      <c r="AI148" s="286" t="s">
        <v>4621</v>
      </c>
    </row>
    <row r="149" spans="1:35">
      <c r="A149" s="579"/>
      <c r="B149" s="335"/>
      <c r="C149" s="409"/>
      <c r="D149" s="287"/>
      <c r="E149" s="411" t="e">
        <v>#N/A</v>
      </c>
      <c r="G149" s="287" t="e">
        <v>#N/A</v>
      </c>
      <c r="I149" s="411" t="e">
        <v>#N/A</v>
      </c>
      <c r="K149" s="411" t="e">
        <v>#N/A</v>
      </c>
      <c r="M149" s="352"/>
      <c r="N149" s="352"/>
      <c r="O149" s="351"/>
      <c r="P149" s="352"/>
      <c r="R149" s="487"/>
      <c r="T149" s="286">
        <v>2550</v>
      </c>
      <c r="U149" s="286">
        <v>1605</v>
      </c>
      <c r="AA149" s="331" t="s">
        <v>4473</v>
      </c>
      <c r="AB149" s="331" t="s">
        <v>4166</v>
      </c>
      <c r="AH149" s="286" t="s">
        <v>4781</v>
      </c>
      <c r="AI149" s="286" t="s">
        <v>4621</v>
      </c>
    </row>
    <row r="150" spans="1:35">
      <c r="A150" s="579"/>
      <c r="B150" s="335"/>
      <c r="C150" s="409"/>
      <c r="D150" s="287"/>
      <c r="E150" s="411" t="e">
        <v>#N/A</v>
      </c>
      <c r="G150" s="287" t="e">
        <v>#N/A</v>
      </c>
      <c r="I150" s="411" t="e">
        <v>#N/A</v>
      </c>
      <c r="K150" s="411" t="e">
        <v>#N/A</v>
      </c>
      <c r="M150" s="352"/>
      <c r="N150" s="352"/>
      <c r="O150" s="351"/>
      <c r="P150" s="352"/>
      <c r="R150" s="487"/>
      <c r="T150" s="286">
        <v>2550</v>
      </c>
      <c r="U150" s="286">
        <v>1605</v>
      </c>
      <c r="AA150" s="331" t="s">
        <v>4474</v>
      </c>
      <c r="AB150" s="331" t="s">
        <v>4167</v>
      </c>
      <c r="AH150" s="338" t="s">
        <v>4052</v>
      </c>
      <c r="AI150" s="365" t="s">
        <v>4055</v>
      </c>
    </row>
    <row r="151" spans="1:35">
      <c r="A151" s="579"/>
      <c r="B151" s="335"/>
      <c r="C151" s="409"/>
      <c r="D151" s="287"/>
      <c r="E151" s="411" t="e">
        <v>#N/A</v>
      </c>
      <c r="G151" s="287" t="e">
        <v>#N/A</v>
      </c>
      <c r="I151" s="411" t="e">
        <v>#N/A</v>
      </c>
      <c r="K151" s="411" t="e">
        <v>#N/A</v>
      </c>
      <c r="M151" s="352"/>
      <c r="N151" s="352"/>
      <c r="O151" s="351"/>
      <c r="P151" s="352"/>
      <c r="R151" s="487"/>
      <c r="T151" s="286">
        <v>2550</v>
      </c>
      <c r="U151" s="286">
        <v>1605</v>
      </c>
      <c r="AA151" s="331" t="s">
        <v>4475</v>
      </c>
      <c r="AB151" s="331" t="s">
        <v>4216</v>
      </c>
      <c r="AH151" s="338" t="s">
        <v>3604</v>
      </c>
      <c r="AI151" s="365" t="s">
        <v>3603</v>
      </c>
    </row>
    <row r="152" spans="1:35">
      <c r="A152" s="579"/>
      <c r="B152" s="335"/>
      <c r="C152" s="409"/>
      <c r="D152" s="287"/>
      <c r="E152" s="411" t="e">
        <v>#N/A</v>
      </c>
      <c r="G152" s="287" t="e">
        <v>#N/A</v>
      </c>
      <c r="I152" s="411" t="e">
        <v>#N/A</v>
      </c>
      <c r="K152" s="411" t="e">
        <v>#N/A</v>
      </c>
      <c r="M152" s="352"/>
      <c r="N152" s="352"/>
      <c r="O152" s="351"/>
      <c r="P152" s="352"/>
      <c r="R152" s="487"/>
      <c r="T152" s="286">
        <v>2550</v>
      </c>
      <c r="U152" s="286">
        <v>1605</v>
      </c>
      <c r="AA152" s="362" t="s">
        <v>4476</v>
      </c>
      <c r="AB152" s="362" t="s">
        <v>4214</v>
      </c>
      <c r="AH152" s="338" t="s">
        <v>4057</v>
      </c>
      <c r="AI152" s="365" t="s">
        <v>4061</v>
      </c>
    </row>
    <row r="153" spans="1:35">
      <c r="A153" s="579"/>
      <c r="B153" s="335"/>
      <c r="C153" s="409"/>
      <c r="D153" s="287"/>
      <c r="E153" s="411" t="e">
        <v>#N/A</v>
      </c>
      <c r="G153" s="287" t="e">
        <v>#N/A</v>
      </c>
      <c r="I153" s="411" t="e">
        <v>#N/A</v>
      </c>
      <c r="K153" s="411" t="e">
        <v>#N/A</v>
      </c>
      <c r="M153" s="352"/>
      <c r="N153" s="352"/>
      <c r="O153" s="351"/>
      <c r="P153" s="352"/>
      <c r="R153" s="487"/>
      <c r="T153" s="286">
        <v>2550</v>
      </c>
      <c r="U153" s="286">
        <v>1605</v>
      </c>
      <c r="AA153" s="362" t="s">
        <v>4514</v>
      </c>
      <c r="AB153" s="362" t="s">
        <v>4168</v>
      </c>
      <c r="AH153" s="338" t="s">
        <v>4058</v>
      </c>
      <c r="AI153" s="365" t="s">
        <v>4062</v>
      </c>
    </row>
    <row r="154" spans="1:35">
      <c r="A154" s="579"/>
      <c r="B154" s="338" t="str">
        <f t="shared" ref="B154:B155" si="13">IF($D$1=1,M154,
IF($D$1=2,N154,
IF($D$1=3,O154,
IF($D$1=4,P154,
IF($D$1=5,Q154,
IF($D$1=6,R154,0))))))</f>
        <v xml:space="preserve">Matelac RAL 9003 </v>
      </c>
      <c r="C154" s="323">
        <f t="shared" ref="C154:C155" si="14">IF($D$1=1,E154,IF(OR($D$1=2,$D$1=5),G154,IF($D$1=3,I154,IF($D$1=4,K154,IF($D$1=6,G154*1.3,0)))))</f>
        <v>130.64766467065868</v>
      </c>
      <c r="D154" s="287"/>
      <c r="E154" s="411">
        <v>3759.21</v>
      </c>
      <c r="F154" s="411"/>
      <c r="G154" s="287">
        <v>130.64766467065868</v>
      </c>
      <c r="H154" s="409"/>
      <c r="I154" s="411">
        <v>594.59400000000005</v>
      </c>
      <c r="J154" s="411"/>
      <c r="K154" s="411">
        <v>53499.193548387106</v>
      </c>
      <c r="L154" s="411"/>
      <c r="M154" s="352" t="s">
        <v>56</v>
      </c>
      <c r="N154" s="352" t="s">
        <v>56</v>
      </c>
      <c r="O154" s="351" t="s">
        <v>4280</v>
      </c>
      <c r="P154" s="352" t="s">
        <v>4280</v>
      </c>
      <c r="Q154" s="286" t="s">
        <v>4280</v>
      </c>
      <c r="R154" s="487" t="s">
        <v>56</v>
      </c>
      <c r="T154" s="286">
        <v>2550</v>
      </c>
      <c r="U154" s="286">
        <v>1605</v>
      </c>
      <c r="AA154" s="331" t="s">
        <v>4477</v>
      </c>
      <c r="AB154" s="331" t="s">
        <v>4169</v>
      </c>
      <c r="AH154" s="366" t="s">
        <v>4054</v>
      </c>
      <c r="AI154" s="365" t="s">
        <v>4055</v>
      </c>
    </row>
    <row r="155" spans="1:35">
      <c r="A155" s="579"/>
      <c r="B155" s="338" t="str">
        <f t="shared" si="13"/>
        <v xml:space="preserve">Matelac RAL 9005 </v>
      </c>
      <c r="C155" s="323">
        <f t="shared" si="14"/>
        <v>104.51813173652697</v>
      </c>
      <c r="D155" s="287"/>
      <c r="E155" s="411">
        <v>3007.3679999999999</v>
      </c>
      <c r="F155" s="411"/>
      <c r="G155" s="287">
        <v>104.51813173652697</v>
      </c>
      <c r="H155" s="409"/>
      <c r="I155" s="411">
        <v>475.67520000000002</v>
      </c>
      <c r="J155" s="411"/>
      <c r="K155" s="411">
        <v>42799.354838709682</v>
      </c>
      <c r="L155" s="411"/>
      <c r="M155" s="352" t="s">
        <v>60</v>
      </c>
      <c r="N155" s="352" t="s">
        <v>60</v>
      </c>
      <c r="O155" s="351" t="s">
        <v>4281</v>
      </c>
      <c r="P155" s="352" t="s">
        <v>4281</v>
      </c>
      <c r="Q155" s="286" t="s">
        <v>4281</v>
      </c>
      <c r="R155" s="487" t="s">
        <v>60</v>
      </c>
      <c r="T155" s="286">
        <v>2550</v>
      </c>
      <c r="U155" s="286">
        <v>1605</v>
      </c>
      <c r="AA155" s="331" t="s">
        <v>4478</v>
      </c>
      <c r="AB155" s="331" t="s">
        <v>4170</v>
      </c>
      <c r="AH155" s="366" t="s">
        <v>4053</v>
      </c>
      <c r="AI155" s="365" t="s">
        <v>3603</v>
      </c>
    </row>
    <row r="156" spans="1:35">
      <c r="A156" s="579"/>
      <c r="B156" s="335"/>
      <c r="C156" s="409"/>
      <c r="D156" s="287"/>
      <c r="E156" s="411" t="e">
        <v>#N/A</v>
      </c>
      <c r="G156" s="287" t="e">
        <v>#N/A</v>
      </c>
      <c r="I156" s="411" t="e">
        <v>#N/A</v>
      </c>
      <c r="K156" s="411" t="e">
        <v>#N/A</v>
      </c>
      <c r="M156" s="352"/>
      <c r="N156" s="352"/>
      <c r="O156" s="351"/>
      <c r="P156" s="352"/>
      <c r="R156" s="487"/>
      <c r="T156" s="286">
        <v>2550</v>
      </c>
      <c r="U156" s="286">
        <v>1605</v>
      </c>
      <c r="AA156" s="362" t="s">
        <v>4479</v>
      </c>
      <c r="AB156" s="362" t="s">
        <v>3601</v>
      </c>
      <c r="AH156" s="366" t="s">
        <v>4060</v>
      </c>
      <c r="AI156" s="365" t="s">
        <v>4061</v>
      </c>
    </row>
    <row r="157" spans="1:35">
      <c r="A157" s="579"/>
      <c r="B157" s="335"/>
      <c r="C157" s="409"/>
      <c r="D157" s="287"/>
      <c r="E157" s="411" t="e">
        <v>#N/A</v>
      </c>
      <c r="G157" s="287" t="e">
        <v>#N/A</v>
      </c>
      <c r="I157" s="411" t="e">
        <v>#N/A</v>
      </c>
      <c r="K157" s="411" t="e">
        <v>#N/A</v>
      </c>
      <c r="M157" s="352"/>
      <c r="N157" s="352"/>
      <c r="O157" s="351"/>
      <c r="P157" s="352"/>
      <c r="R157" s="487"/>
      <c r="T157" s="286">
        <v>2550</v>
      </c>
      <c r="U157" s="286">
        <v>1605</v>
      </c>
      <c r="AA157" s="362" t="s">
        <v>4480</v>
      </c>
      <c r="AB157" s="362" t="s">
        <v>4215</v>
      </c>
      <c r="AH157" s="366" t="s">
        <v>4059</v>
      </c>
      <c r="AI157" s="365" t="s">
        <v>4062</v>
      </c>
    </row>
    <row r="158" spans="1:35">
      <c r="A158" s="579"/>
      <c r="B158" s="335"/>
      <c r="C158" s="409"/>
      <c r="D158" s="287"/>
      <c r="E158" s="411" t="e">
        <v>#N/A</v>
      </c>
      <c r="G158" s="287" t="e">
        <v>#N/A</v>
      </c>
      <c r="I158" s="411" t="e">
        <v>#N/A</v>
      </c>
      <c r="K158" s="411" t="e">
        <v>#N/A</v>
      </c>
      <c r="M158" s="352"/>
      <c r="N158" s="352"/>
      <c r="O158" s="351"/>
      <c r="P158" s="352"/>
      <c r="R158" s="487"/>
      <c r="T158" s="286">
        <v>2550</v>
      </c>
      <c r="U158" s="286">
        <v>1605</v>
      </c>
      <c r="AA158" s="362" t="s">
        <v>4481</v>
      </c>
      <c r="AB158" s="362" t="s">
        <v>4171</v>
      </c>
      <c r="AH158" s="168" t="s">
        <v>4056</v>
      </c>
      <c r="AI158" s="365" t="s">
        <v>4055</v>
      </c>
    </row>
    <row r="159" spans="1:35">
      <c r="A159" s="579"/>
      <c r="B159" s="335"/>
      <c r="C159" s="409"/>
      <c r="D159" s="287"/>
      <c r="E159" s="411" t="e">
        <v>#N/A</v>
      </c>
      <c r="G159" s="287" t="e">
        <v>#N/A</v>
      </c>
      <c r="I159" s="411" t="e">
        <v>#N/A</v>
      </c>
      <c r="K159" s="411" t="e">
        <v>#N/A</v>
      </c>
      <c r="M159" s="352"/>
      <c r="N159" s="352"/>
      <c r="O159" s="351"/>
      <c r="P159" s="352"/>
      <c r="R159" s="487"/>
      <c r="T159" s="286">
        <v>2550</v>
      </c>
      <c r="U159" s="286">
        <v>1605</v>
      </c>
      <c r="AA159" s="362" t="s">
        <v>4482</v>
      </c>
      <c r="AB159" s="362" t="s">
        <v>4172</v>
      </c>
      <c r="AH159" s="168" t="s">
        <v>4064</v>
      </c>
      <c r="AI159" s="365" t="s">
        <v>3603</v>
      </c>
    </row>
    <row r="160" spans="1:35">
      <c r="A160" s="579"/>
      <c r="B160" s="338" t="str">
        <f t="shared" ref="B160:B167" si="15">IF($D$1=1,M160,
IF($D$1=2,N160,
IF($D$1=3,O160,
IF($D$1=4,P160,
IF($D$1=5,Q160,
IF($D$1=6,R160,0))))))</f>
        <v>Matelac mirror bronze</v>
      </c>
      <c r="C160" s="323">
        <f t="shared" ref="C160:C167" si="16">IF($D$1=1,E160,IF(OR($D$1=2,$D$1=5),G160,IF($D$1=3,I160,IF($D$1=4,K160,IF($D$1=6,G160*1.3,0)))))</f>
        <v>109.74403832335331</v>
      </c>
      <c r="D160" s="287"/>
      <c r="E160" s="411">
        <v>3157.7363999999998</v>
      </c>
      <c r="F160" s="411"/>
      <c r="G160" s="287">
        <v>109.74403832335331</v>
      </c>
      <c r="H160" s="409"/>
      <c r="I160" s="411">
        <v>499.45895999999993</v>
      </c>
      <c r="J160" s="411"/>
      <c r="K160" s="411">
        <v>44939.322580645159</v>
      </c>
      <c r="L160" s="411"/>
      <c r="M160" s="352" t="s">
        <v>69</v>
      </c>
      <c r="N160" s="352" t="s">
        <v>509</v>
      </c>
      <c r="O160" s="351" t="s">
        <v>506</v>
      </c>
      <c r="P160" s="352" t="s">
        <v>587</v>
      </c>
      <c r="Q160" s="286" t="s">
        <v>1631</v>
      </c>
      <c r="R160" s="487" t="s">
        <v>4923</v>
      </c>
      <c r="T160" s="286">
        <v>2550</v>
      </c>
      <c r="U160" s="286">
        <v>1605</v>
      </c>
      <c r="AA160" s="362" t="s">
        <v>4434</v>
      </c>
      <c r="AB160" s="362" t="s">
        <v>4173</v>
      </c>
      <c r="AH160" s="168" t="s">
        <v>4065</v>
      </c>
      <c r="AI160" s="365" t="s">
        <v>4061</v>
      </c>
    </row>
    <row r="161" spans="1:35">
      <c r="A161" s="579"/>
      <c r="B161" s="338" t="str">
        <f t="shared" si="15"/>
        <v>Optiwhite</v>
      </c>
      <c r="C161" s="323">
        <f t="shared" si="16"/>
        <v>48.239137724550893</v>
      </c>
      <c r="D161" s="287"/>
      <c r="E161" s="411">
        <v>1388.0159999999998</v>
      </c>
      <c r="F161" s="411"/>
      <c r="G161" s="287">
        <v>48.239137724550893</v>
      </c>
      <c r="H161" s="409"/>
      <c r="I161" s="411">
        <v>219.54239999999999</v>
      </c>
      <c r="J161" s="411"/>
      <c r="K161" s="411">
        <v>19753.548387096773</v>
      </c>
      <c r="L161" s="411"/>
      <c r="M161" s="353" t="s">
        <v>4718</v>
      </c>
      <c r="N161" s="353" t="s">
        <v>4718</v>
      </c>
      <c r="O161" s="353" t="s">
        <v>4718</v>
      </c>
      <c r="P161" s="353" t="s">
        <v>4718</v>
      </c>
      <c r="Q161" s="353" t="s">
        <v>4718</v>
      </c>
      <c r="R161" s="487" t="s">
        <v>4718</v>
      </c>
      <c r="T161" s="286">
        <v>2550</v>
      </c>
      <c r="U161" s="286">
        <v>1605</v>
      </c>
      <c r="AA161" s="362" t="s">
        <v>4518</v>
      </c>
      <c r="AB161" s="362" t="s">
        <v>4174</v>
      </c>
      <c r="AH161" s="168" t="s">
        <v>4063</v>
      </c>
      <c r="AI161" s="365" t="s">
        <v>4062</v>
      </c>
    </row>
    <row r="162" spans="1:35">
      <c r="A162" s="579"/>
      <c r="B162" s="338" t="str">
        <f t="shared" si="15"/>
        <v>Matelac mirror graphite</v>
      </c>
      <c r="C162" s="323">
        <f t="shared" si="16"/>
        <v>109.74403832335331</v>
      </c>
      <c r="D162" s="287"/>
      <c r="E162" s="411">
        <v>3157.7363999999998</v>
      </c>
      <c r="F162" s="411"/>
      <c r="G162" s="287">
        <v>109.74403832335331</v>
      </c>
      <c r="H162" s="409"/>
      <c r="I162" s="411">
        <v>499.45895999999993</v>
      </c>
      <c r="J162" s="411"/>
      <c r="K162" s="411">
        <v>44939.322580645159</v>
      </c>
      <c r="L162" s="411"/>
      <c r="M162" s="352" t="s">
        <v>71</v>
      </c>
      <c r="N162" s="352" t="s">
        <v>511</v>
      </c>
      <c r="O162" s="351" t="s">
        <v>508</v>
      </c>
      <c r="P162" s="352" t="s">
        <v>589</v>
      </c>
      <c r="Q162" s="286" t="s">
        <v>1632</v>
      </c>
      <c r="R162" s="487" t="s">
        <v>4924</v>
      </c>
      <c r="T162" s="286">
        <v>2550</v>
      </c>
      <c r="U162" s="286">
        <v>1605</v>
      </c>
      <c r="AA162" s="362" t="s">
        <v>4522</v>
      </c>
      <c r="AB162" s="362" t="s">
        <v>4175</v>
      </c>
      <c r="AH162" s="365" t="s">
        <v>4069</v>
      </c>
      <c r="AI162" s="365" t="s">
        <v>4055</v>
      </c>
    </row>
    <row r="163" spans="1:35">
      <c r="A163" s="579"/>
      <c r="B163" s="338" t="str">
        <f t="shared" si="15"/>
        <v>Matelac mirror silver.</v>
      </c>
      <c r="C163" s="323">
        <f t="shared" si="16"/>
        <v>130.64766467065868</v>
      </c>
      <c r="D163" s="287"/>
      <c r="E163" s="411">
        <v>3759.21</v>
      </c>
      <c r="F163" s="411"/>
      <c r="G163" s="287">
        <v>130.64766467065868</v>
      </c>
      <c r="H163" s="409"/>
      <c r="I163" s="411">
        <v>594.59400000000005</v>
      </c>
      <c r="J163" s="411"/>
      <c r="K163" s="411">
        <v>53499.193548387106</v>
      </c>
      <c r="L163" s="411"/>
      <c r="M163" s="352" t="s">
        <v>70</v>
      </c>
      <c r="N163" s="352" t="s">
        <v>1542</v>
      </c>
      <c r="O163" s="351" t="s">
        <v>1543</v>
      </c>
      <c r="P163" s="352" t="s">
        <v>1544</v>
      </c>
      <c r="Q163" s="286" t="s">
        <v>4775</v>
      </c>
      <c r="R163" s="487" t="s">
        <v>4925</v>
      </c>
      <c r="T163" s="286">
        <v>2550</v>
      </c>
      <c r="U163" s="286">
        <v>1605</v>
      </c>
      <c r="AA163" s="338" t="s">
        <v>4435</v>
      </c>
      <c r="AB163" s="338" t="s">
        <v>4176</v>
      </c>
      <c r="AH163" s="365" t="s">
        <v>4066</v>
      </c>
      <c r="AI163" s="365" t="s">
        <v>3603</v>
      </c>
    </row>
    <row r="164" spans="1:35">
      <c r="A164" s="381"/>
      <c r="B164" s="338" t="str">
        <f t="shared" si="15"/>
        <v>mesh aluminum gold - field 10x6x1 mm</v>
      </c>
      <c r="C164" s="323">
        <f t="shared" si="16"/>
        <v>433.20431654676258</v>
      </c>
      <c r="D164" s="287"/>
      <c r="E164" s="424">
        <v>12524.803200000002</v>
      </c>
      <c r="F164" s="424"/>
      <c r="G164" s="425">
        <v>433.20431654676258</v>
      </c>
      <c r="H164" s="425"/>
      <c r="I164" s="424">
        <v>1959.5520000000001</v>
      </c>
      <c r="J164" s="424"/>
      <c r="K164" s="424">
        <v>177867.02769230737</v>
      </c>
      <c r="L164" s="424"/>
      <c r="M164" s="338" t="s">
        <v>4052</v>
      </c>
      <c r="N164" s="366" t="s">
        <v>4054</v>
      </c>
      <c r="O164" s="365" t="s">
        <v>4055</v>
      </c>
      <c r="P164" s="168" t="s">
        <v>4056</v>
      </c>
      <c r="Q164" s="365" t="s">
        <v>4069</v>
      </c>
      <c r="R164" s="487" t="s">
        <v>4926</v>
      </c>
      <c r="T164" s="286">
        <v>1000</v>
      </c>
      <c r="U164" s="286">
        <v>500</v>
      </c>
      <c r="AA164" s="338" t="s">
        <v>4436</v>
      </c>
      <c r="AB164" s="338" t="s">
        <v>4177</v>
      </c>
      <c r="AH164" s="365" t="s">
        <v>4067</v>
      </c>
      <c r="AI164" s="365" t="s">
        <v>4061</v>
      </c>
    </row>
    <row r="165" spans="1:35">
      <c r="A165" s="381"/>
      <c r="B165" s="338" t="str">
        <f t="shared" si="15"/>
        <v>mesh steel black matt - field 8x4x1 mm</v>
      </c>
      <c r="C165" s="323">
        <f t="shared" si="16"/>
        <v>174.05530575539584</v>
      </c>
      <c r="D165" s="287"/>
      <c r="E165" s="424">
        <v>5032.2870000000003</v>
      </c>
      <c r="F165" s="424"/>
      <c r="G165" s="425">
        <v>174.05530575539584</v>
      </c>
      <c r="H165" s="425"/>
      <c r="I165" s="424">
        <v>787.32</v>
      </c>
      <c r="J165" s="424"/>
      <c r="K165" s="424">
        <v>71464.430769230748</v>
      </c>
      <c r="L165" s="424"/>
      <c r="M165" s="338" t="s">
        <v>3604</v>
      </c>
      <c r="N165" s="366" t="s">
        <v>4053</v>
      </c>
      <c r="O165" s="365" t="s">
        <v>3603</v>
      </c>
      <c r="P165" s="168" t="s">
        <v>4064</v>
      </c>
      <c r="Q165" s="365" t="s">
        <v>4066</v>
      </c>
      <c r="R165" s="487" t="s">
        <v>4927</v>
      </c>
      <c r="T165" s="286">
        <v>1000</v>
      </c>
      <c r="U165" s="286">
        <v>500</v>
      </c>
      <c r="AA165" s="338" t="s">
        <v>4437</v>
      </c>
      <c r="AB165" s="338" t="s">
        <v>4178</v>
      </c>
      <c r="AH165" s="365" t="s">
        <v>4068</v>
      </c>
      <c r="AI165" s="365" t="s">
        <v>4062</v>
      </c>
    </row>
    <row r="166" spans="1:35">
      <c r="A166" s="381"/>
      <c r="B166" s="338" t="str">
        <f t="shared" si="15"/>
        <v>mesh steel white - field 8x4x1 mm</v>
      </c>
      <c r="C166" s="323">
        <f t="shared" si="16"/>
        <v>174.05530575539584</v>
      </c>
      <c r="D166" s="287"/>
      <c r="E166" s="424">
        <v>5032.2870000000003</v>
      </c>
      <c r="F166" s="424"/>
      <c r="G166" s="425">
        <v>174.05530575539584</v>
      </c>
      <c r="H166" s="425"/>
      <c r="I166" s="424">
        <v>787.32</v>
      </c>
      <c r="J166" s="424"/>
      <c r="K166" s="424">
        <v>71464.430769230748</v>
      </c>
      <c r="L166" s="424"/>
      <c r="M166" s="338" t="s">
        <v>4057</v>
      </c>
      <c r="N166" s="366" t="s">
        <v>4060</v>
      </c>
      <c r="O166" s="365" t="s">
        <v>4061</v>
      </c>
      <c r="P166" s="168" t="s">
        <v>4065</v>
      </c>
      <c r="Q166" s="365" t="s">
        <v>4067</v>
      </c>
      <c r="R166" s="487" t="s">
        <v>4928</v>
      </c>
      <c r="T166" s="286">
        <v>1000</v>
      </c>
      <c r="U166" s="286">
        <v>500</v>
      </c>
      <c r="AA166" s="338" t="s">
        <v>4438</v>
      </c>
      <c r="AB166" s="338" t="s">
        <v>3632</v>
      </c>
      <c r="AH166"/>
      <c r="AI166"/>
    </row>
    <row r="167" spans="1:35">
      <c r="B167" s="338" t="str">
        <f t="shared" si="15"/>
        <v>mesh anodized - field 10x6x1 mm</v>
      </c>
      <c r="C167" s="323">
        <f t="shared" si="16"/>
        <v>433.20431654676258</v>
      </c>
      <c r="D167" s="287"/>
      <c r="E167" s="424">
        <v>12524.803200000002</v>
      </c>
      <c r="F167" s="424"/>
      <c r="G167" s="425">
        <v>433.20431654676258</v>
      </c>
      <c r="H167" s="425"/>
      <c r="I167" s="424">
        <v>1959.5520000000001</v>
      </c>
      <c r="J167" s="424"/>
      <c r="K167" s="424">
        <v>177867.02769230737</v>
      </c>
      <c r="L167" s="424"/>
      <c r="M167" s="338" t="s">
        <v>4058</v>
      </c>
      <c r="N167" s="366" t="s">
        <v>4059</v>
      </c>
      <c r="O167" s="365" t="s">
        <v>4062</v>
      </c>
      <c r="P167" s="168" t="s">
        <v>4063</v>
      </c>
      <c r="Q167" s="365" t="s">
        <v>4068</v>
      </c>
      <c r="R167" s="487" t="s">
        <v>4929</v>
      </c>
      <c r="T167" s="286">
        <v>1000</v>
      </c>
      <c r="U167" s="286">
        <v>500</v>
      </c>
      <c r="AA167" s="338" t="s">
        <v>4439</v>
      </c>
      <c r="AB167" s="338" t="s">
        <v>4179</v>
      </c>
      <c r="AH167"/>
      <c r="AI167"/>
    </row>
    <row r="168" spans="1:35">
      <c r="B168" s="335"/>
      <c r="G168" s="583"/>
      <c r="H168" s="583"/>
      <c r="I168" s="583"/>
      <c r="J168" s="583"/>
      <c r="K168" s="583"/>
      <c r="L168" s="583"/>
      <c r="AA168" s="338" t="s">
        <v>4440</v>
      </c>
      <c r="AB168" s="338" t="s">
        <v>4217</v>
      </c>
      <c r="AH168"/>
      <c r="AI168"/>
    </row>
    <row r="169" spans="1:35">
      <c r="B169" s="335" t="str">
        <f>IF($D$1=1,M169,IF($D$1=2,N169,IF($D$1=3,O169,IF($D$1=4,P169,IF($D$1=5,Q169,IF($D$1=6,R169,0))))))</f>
        <v>Frame</v>
      </c>
      <c r="H169" s="286" t="s">
        <v>643</v>
      </c>
      <c r="M169" s="328" t="s">
        <v>1634</v>
      </c>
      <c r="N169" s="286" t="s">
        <v>1635</v>
      </c>
      <c r="O169" s="286" t="s">
        <v>1858</v>
      </c>
      <c r="P169" s="286" t="s">
        <v>2067</v>
      </c>
      <c r="Q169" s="286" t="s">
        <v>1857</v>
      </c>
      <c r="R169" s="487" t="s">
        <v>4930</v>
      </c>
      <c r="AA169" s="331" t="s">
        <v>4524</v>
      </c>
      <c r="AB169" s="331" t="s">
        <v>4133</v>
      </c>
      <c r="AH169"/>
      <c r="AI169"/>
    </row>
    <row r="170" spans="1:35">
      <c r="B170" s="335" t="str">
        <f t="shared" ref="B170:B233" si="17">IF($D$1=1,M170,IF($D$1=2,N170,IF($D$1=3,O170,IF($D$1=4,P170,IF($D$1=5,Q170,IF($D$1=6,R170,0))))))</f>
        <v>The standard hole for a hinge cup is drilled 3mm from the edge.</v>
      </c>
      <c r="G170" s="286" t="s">
        <v>643</v>
      </c>
      <c r="J170" s="286" t="s">
        <v>643</v>
      </c>
      <c r="M170" s="328" t="s">
        <v>774</v>
      </c>
      <c r="N170" s="286" t="s">
        <v>816</v>
      </c>
      <c r="O170" s="286" t="s">
        <v>1548</v>
      </c>
      <c r="P170" s="286" t="s">
        <v>2203</v>
      </c>
      <c r="Q170" s="286" t="s">
        <v>2407</v>
      </c>
      <c r="R170" s="487" t="s">
        <v>4931</v>
      </c>
      <c r="AA170" s="331" t="s">
        <v>4525</v>
      </c>
      <c r="AB170" s="331" t="s">
        <v>4213</v>
      </c>
      <c r="AH170"/>
      <c r="AI170"/>
    </row>
    <row r="171" spans="1:35">
      <c r="B171" s="335" t="str">
        <f t="shared" si="17"/>
        <v>Prices shown are VAT-free and do not include price of the fittings required!</v>
      </c>
      <c r="M171" s="328" t="s">
        <v>711</v>
      </c>
      <c r="N171" s="286" t="s">
        <v>817</v>
      </c>
      <c r="O171" s="286" t="s">
        <v>1549</v>
      </c>
      <c r="P171" s="286" t="s">
        <v>2204</v>
      </c>
      <c r="Q171" s="286" t="s">
        <v>2408</v>
      </c>
      <c r="R171" s="487" t="s">
        <v>4932</v>
      </c>
      <c r="AA171" s="331" t="s">
        <v>4526</v>
      </c>
      <c r="AB171" s="331" t="s">
        <v>4134</v>
      </c>
      <c r="AH171"/>
      <c r="AI171"/>
    </row>
    <row r="172" spans="1:35">
      <c r="B172" s="335" t="str">
        <f t="shared" si="17"/>
        <v>Type of profile</v>
      </c>
      <c r="M172" s="328" t="s">
        <v>376</v>
      </c>
      <c r="N172" s="286" t="s">
        <v>376</v>
      </c>
      <c r="O172" s="286" t="s">
        <v>594</v>
      </c>
      <c r="P172" s="286" t="s">
        <v>607</v>
      </c>
      <c r="Q172" s="286" t="s">
        <v>2409</v>
      </c>
      <c r="R172" s="487" t="s">
        <v>4933</v>
      </c>
      <c r="AA172" s="331" t="s">
        <v>4527</v>
      </c>
      <c r="AB172" s="331" t="s">
        <v>4135</v>
      </c>
      <c r="AH172"/>
      <c r="AI172"/>
    </row>
    <row r="173" spans="1:35">
      <c r="B173" s="335" t="str">
        <f t="shared" si="17"/>
        <v>Type of glass</v>
      </c>
      <c r="M173" s="328" t="s">
        <v>3049</v>
      </c>
      <c r="N173" s="286" t="s">
        <v>3050</v>
      </c>
      <c r="O173" s="286" t="s">
        <v>13</v>
      </c>
      <c r="P173" s="286" t="s">
        <v>516</v>
      </c>
      <c r="Q173" s="286" t="s">
        <v>2314</v>
      </c>
      <c r="R173" s="487" t="s">
        <v>4934</v>
      </c>
      <c r="AA173" s="331" t="s">
        <v>4528</v>
      </c>
      <c r="AB173" s="331" t="s">
        <v>4136</v>
      </c>
      <c r="AH173"/>
      <c r="AI173"/>
    </row>
    <row r="174" spans="1:35">
      <c r="B174" s="335" t="str">
        <f t="shared" si="17"/>
        <v>Quantity</v>
      </c>
      <c r="M174" s="328" t="s">
        <v>4</v>
      </c>
      <c r="N174" s="286" t="s">
        <v>382</v>
      </c>
      <c r="O174" s="286" t="s">
        <v>14</v>
      </c>
      <c r="P174" s="286" t="s">
        <v>2205</v>
      </c>
      <c r="Q174" s="286" t="s">
        <v>1641</v>
      </c>
      <c r="R174" s="487" t="s">
        <v>4935</v>
      </c>
      <c r="AA174" s="332" t="s">
        <v>4529</v>
      </c>
      <c r="AB174" s="331" t="s">
        <v>4137</v>
      </c>
      <c r="AH174"/>
      <c r="AI174"/>
    </row>
    <row r="175" spans="1:35">
      <c r="B175" s="335" t="str">
        <f t="shared" si="17"/>
        <v>Width</v>
      </c>
      <c r="M175" s="328" t="s">
        <v>3</v>
      </c>
      <c r="N175" s="286" t="s">
        <v>383</v>
      </c>
      <c r="O175" s="286" t="s">
        <v>10</v>
      </c>
      <c r="P175" s="286" t="s">
        <v>518</v>
      </c>
      <c r="Q175" s="286" t="s">
        <v>1642</v>
      </c>
      <c r="R175" s="487" t="s">
        <v>4936</v>
      </c>
      <c r="AA175" s="332" t="s">
        <v>4530</v>
      </c>
      <c r="AB175" s="331" t="s">
        <v>4138</v>
      </c>
      <c r="AH175"/>
      <c r="AI175"/>
    </row>
    <row r="176" spans="1:35">
      <c r="B176" s="335" t="str">
        <f t="shared" si="17"/>
        <v>Height</v>
      </c>
      <c r="M176" s="328" t="s">
        <v>15</v>
      </c>
      <c r="N176" s="286" t="s">
        <v>15</v>
      </c>
      <c r="O176" s="286" t="s">
        <v>11</v>
      </c>
      <c r="P176" s="286" t="s">
        <v>519</v>
      </c>
      <c r="Q176" s="286" t="s">
        <v>1643</v>
      </c>
      <c r="R176" s="487" t="s">
        <v>4937</v>
      </c>
      <c r="AA176" s="332" t="s">
        <v>4593</v>
      </c>
      <c r="AB176" s="332" t="s">
        <v>2571</v>
      </c>
      <c r="AH176"/>
      <c r="AI176"/>
    </row>
    <row r="177" spans="2:35">
      <c r="B177" s="335" t="str">
        <f t="shared" si="17"/>
        <v>Notes</v>
      </c>
      <c r="M177" s="328" t="s">
        <v>592</v>
      </c>
      <c r="N177" s="286" t="s">
        <v>592</v>
      </c>
      <c r="O177" s="286" t="s">
        <v>442</v>
      </c>
      <c r="P177" s="286" t="s">
        <v>593</v>
      </c>
      <c r="Q177" s="286" t="s">
        <v>2375</v>
      </c>
      <c r="R177" s="487" t="s">
        <v>4938</v>
      </c>
      <c r="AA177" s="332" t="s">
        <v>4531</v>
      </c>
      <c r="AB177" s="331" t="s">
        <v>4139</v>
      </c>
      <c r="AH177"/>
      <c r="AI177"/>
    </row>
    <row r="178" spans="2:35">
      <c r="B178" s="335" t="str">
        <f t="shared" si="17"/>
        <v>Total price of frames</v>
      </c>
      <c r="J178" s="286" t="s">
        <v>643</v>
      </c>
      <c r="M178" s="328" t="s">
        <v>17</v>
      </c>
      <c r="N178" s="286" t="s">
        <v>384</v>
      </c>
      <c r="O178" s="286" t="s">
        <v>443</v>
      </c>
      <c r="P178" s="286" t="s">
        <v>520</v>
      </c>
      <c r="Q178" s="286" t="s">
        <v>1645</v>
      </c>
      <c r="R178" s="487" t="s">
        <v>4939</v>
      </c>
      <c r="AA178" s="332" t="s">
        <v>4532</v>
      </c>
      <c r="AB178" s="331" t="s">
        <v>4140</v>
      </c>
      <c r="AH178"/>
      <c r="AI178"/>
    </row>
    <row r="179" spans="2:35">
      <c r="B179" s="335" t="str">
        <f t="shared" si="17"/>
        <v>Total price of fittings</v>
      </c>
      <c r="M179" s="286" t="s">
        <v>18</v>
      </c>
      <c r="N179" s="286" t="s">
        <v>385</v>
      </c>
      <c r="O179" s="286" t="s">
        <v>444</v>
      </c>
      <c r="P179" s="286" t="s">
        <v>521</v>
      </c>
      <c r="Q179" s="286" t="s">
        <v>2410</v>
      </c>
      <c r="R179" s="487" t="s">
        <v>4940</v>
      </c>
      <c r="AA179" s="332" t="s">
        <v>4533</v>
      </c>
      <c r="AB179" s="331" t="s">
        <v>4141</v>
      </c>
      <c r="AH179"/>
      <c r="AI179"/>
    </row>
    <row r="180" spans="2:35">
      <c r="B180" s="335" t="str">
        <f t="shared" si="17"/>
        <v>Total order price</v>
      </c>
      <c r="M180" s="286" t="s">
        <v>72</v>
      </c>
      <c r="N180" s="286" t="s">
        <v>386</v>
      </c>
      <c r="O180" s="286" t="s">
        <v>445</v>
      </c>
      <c r="P180" s="286" t="s">
        <v>522</v>
      </c>
      <c r="Q180" s="286" t="s">
        <v>2411</v>
      </c>
      <c r="R180" s="487" t="s">
        <v>4941</v>
      </c>
      <c r="AA180" s="332" t="s">
        <v>4534</v>
      </c>
      <c r="AB180" s="331" t="s">
        <v>956</v>
      </c>
      <c r="AH180"/>
      <c r="AI180"/>
    </row>
    <row r="181" spans="2:35">
      <c r="B181" s="335" t="str">
        <f t="shared" si="17"/>
        <v>Hinges</v>
      </c>
      <c r="M181" s="328" t="s">
        <v>693</v>
      </c>
      <c r="N181" s="286" t="s">
        <v>694</v>
      </c>
      <c r="O181" s="286" t="s">
        <v>695</v>
      </c>
      <c r="P181" s="286" t="s">
        <v>696</v>
      </c>
      <c r="Q181" s="286" t="s">
        <v>2412</v>
      </c>
      <c r="R181" s="487" t="s">
        <v>4942</v>
      </c>
      <c r="AA181" s="332" t="s">
        <v>4535</v>
      </c>
      <c r="AB181" s="331" t="s">
        <v>4142</v>
      </c>
      <c r="AH181"/>
      <c r="AI181"/>
    </row>
    <row r="182" spans="2:35">
      <c r="B182" s="335" t="str">
        <f t="shared" si="17"/>
        <v>Aventos others</v>
      </c>
      <c r="M182" s="328" t="s">
        <v>697</v>
      </c>
      <c r="N182" s="286" t="s">
        <v>698</v>
      </c>
      <c r="O182" s="286" t="s">
        <v>699</v>
      </c>
      <c r="P182" s="286" t="s">
        <v>2206</v>
      </c>
      <c r="Q182" s="286" t="s">
        <v>2413</v>
      </c>
      <c r="R182" s="487" t="s">
        <v>4943</v>
      </c>
      <c r="AA182" s="332" t="s">
        <v>4536</v>
      </c>
      <c r="AB182" s="331" t="s">
        <v>4143</v>
      </c>
      <c r="AH182"/>
      <c r="AI182"/>
    </row>
    <row r="183" spans="2:35">
      <c r="B183" s="335" t="str">
        <f t="shared" si="17"/>
        <v>STRONG soft-closing</v>
      </c>
      <c r="M183" s="328" t="s">
        <v>1109</v>
      </c>
      <c r="N183" s="286" t="s">
        <v>1450</v>
      </c>
      <c r="O183" s="286" t="s">
        <v>1451</v>
      </c>
      <c r="P183" s="286" t="s">
        <v>1452</v>
      </c>
      <c r="Q183" s="286" t="s">
        <v>2414</v>
      </c>
      <c r="R183" s="487" t="s">
        <v>4944</v>
      </c>
      <c r="AA183" s="332" t="s">
        <v>4537</v>
      </c>
      <c r="AB183" s="331" t="s">
        <v>4144</v>
      </c>
      <c r="AH183"/>
      <c r="AI183"/>
    </row>
    <row r="184" spans="2:35">
      <c r="B184" s="335" t="str">
        <f t="shared" si="17"/>
        <v>Hinges with lift up mechanism</v>
      </c>
      <c r="M184" s="328" t="s">
        <v>701</v>
      </c>
      <c r="N184" s="286" t="s">
        <v>702</v>
      </c>
      <c r="O184" s="286" t="s">
        <v>2266</v>
      </c>
      <c r="P184" s="286" t="s">
        <v>2207</v>
      </c>
      <c r="Q184" s="286" t="s">
        <v>2415</v>
      </c>
      <c r="R184" s="487" t="s">
        <v>4945</v>
      </c>
      <c r="AA184" s="331" t="s">
        <v>4538</v>
      </c>
      <c r="AB184" s="331" t="s">
        <v>4145</v>
      </c>
      <c r="AH184"/>
      <c r="AI184"/>
    </row>
    <row r="185" spans="2:35">
      <c r="B185" s="335" t="str">
        <f t="shared" si="17"/>
        <v>Top door</v>
      </c>
      <c r="M185" s="328" t="s">
        <v>4048</v>
      </c>
      <c r="N185" s="286" t="s">
        <v>387</v>
      </c>
      <c r="O185" s="286" t="s">
        <v>446</v>
      </c>
      <c r="P185" s="286" t="s">
        <v>705</v>
      </c>
      <c r="Q185" s="286" t="s">
        <v>2315</v>
      </c>
      <c r="R185" s="487" t="s">
        <v>4946</v>
      </c>
      <c r="AA185" s="332" t="s">
        <v>4539</v>
      </c>
      <c r="AB185" s="331" t="s">
        <v>4146</v>
      </c>
      <c r="AH185"/>
      <c r="AI185"/>
    </row>
    <row r="186" spans="2:35">
      <c r="B186" s="335" t="str">
        <f t="shared" si="17"/>
        <v>Bottom door</v>
      </c>
      <c r="M186" s="328" t="s">
        <v>4049</v>
      </c>
      <c r="N186" s="286" t="s">
        <v>388</v>
      </c>
      <c r="O186" s="286" t="s">
        <v>447</v>
      </c>
      <c r="P186" s="286" t="s">
        <v>523</v>
      </c>
      <c r="Q186" s="286" t="s">
        <v>2316</v>
      </c>
      <c r="R186" s="487" t="s">
        <v>4947</v>
      </c>
      <c r="AA186" s="332" t="s">
        <v>4540</v>
      </c>
      <c r="AB186" s="331" t="s">
        <v>4147</v>
      </c>
      <c r="AH186"/>
      <c r="AI186"/>
    </row>
    <row r="187" spans="2:35">
      <c r="B187" s="335" t="str">
        <f t="shared" si="17"/>
        <v>Overlay clip hinge</v>
      </c>
      <c r="M187" s="307" t="s">
        <v>94</v>
      </c>
      <c r="N187" s="286" t="s">
        <v>94</v>
      </c>
      <c r="O187" s="286" t="s">
        <v>448</v>
      </c>
      <c r="P187" s="286" t="s">
        <v>524</v>
      </c>
      <c r="Q187" s="286" t="s">
        <v>2416</v>
      </c>
      <c r="R187" s="487" t="s">
        <v>4948</v>
      </c>
      <c r="AA187" s="332" t="s">
        <v>4541</v>
      </c>
      <c r="AB187" s="332" t="s">
        <v>4148</v>
      </c>
      <c r="AH187"/>
      <c r="AI187"/>
    </row>
    <row r="188" spans="2:35">
      <c r="B188" s="335" t="str">
        <f t="shared" si="17"/>
        <v>Half-overlay clip hinge</v>
      </c>
      <c r="M188" s="307" t="s">
        <v>95</v>
      </c>
      <c r="N188" s="286" t="s">
        <v>95</v>
      </c>
      <c r="O188" s="286" t="s">
        <v>449</v>
      </c>
      <c r="P188" s="286" t="s">
        <v>2208</v>
      </c>
      <c r="Q188" s="286" t="s">
        <v>2417</v>
      </c>
      <c r="R188" s="487" t="s">
        <v>4949</v>
      </c>
      <c r="AA188" s="331" t="s">
        <v>4542</v>
      </c>
      <c r="AB188" s="331" t="s">
        <v>4149</v>
      </c>
      <c r="AH188"/>
      <c r="AI188"/>
    </row>
    <row r="189" spans="2:35">
      <c r="B189" s="335" t="str">
        <f t="shared" si="17"/>
        <v>Inset clip hinge</v>
      </c>
      <c r="M189" s="307" t="s">
        <v>96</v>
      </c>
      <c r="N189" s="286" t="s">
        <v>96</v>
      </c>
      <c r="O189" s="286" t="s">
        <v>450</v>
      </c>
      <c r="P189" s="286" t="s">
        <v>2209</v>
      </c>
      <c r="Q189" s="286" t="s">
        <v>2418</v>
      </c>
      <c r="R189" s="487" t="s">
        <v>4950</v>
      </c>
      <c r="AA189" s="331" t="s">
        <v>4543</v>
      </c>
      <c r="AB189" s="331" t="s">
        <v>4150</v>
      </c>
      <c r="AH189"/>
      <c r="AI189"/>
    </row>
    <row r="190" spans="2:35">
      <c r="B190" s="335" t="str">
        <f t="shared" si="17"/>
        <v>45°angle</v>
      </c>
      <c r="M190" s="307" t="s">
        <v>97</v>
      </c>
      <c r="N190" s="286" t="s">
        <v>389</v>
      </c>
      <c r="O190" s="286" t="s">
        <v>451</v>
      </c>
      <c r="P190" s="286" t="s">
        <v>527</v>
      </c>
      <c r="Q190" s="286" t="s">
        <v>2317</v>
      </c>
      <c r="R190" s="487" t="s">
        <v>4951</v>
      </c>
      <c r="AA190" s="331" t="s">
        <v>4546</v>
      </c>
      <c r="AB190" s="331" t="s">
        <v>4151</v>
      </c>
      <c r="AH190"/>
      <c r="AI190"/>
    </row>
    <row r="191" spans="2:35">
      <c r="B191" s="335" t="str">
        <f t="shared" si="17"/>
        <v>Overlay</v>
      </c>
      <c r="M191" s="286" t="s">
        <v>98</v>
      </c>
      <c r="N191" s="286" t="s">
        <v>390</v>
      </c>
      <c r="O191" s="286" t="s">
        <v>452</v>
      </c>
      <c r="P191" s="286" t="s">
        <v>528</v>
      </c>
      <c r="Q191" s="286" t="s">
        <v>2563</v>
      </c>
      <c r="R191" s="487" t="s">
        <v>4952</v>
      </c>
      <c r="AA191" s="332" t="s">
        <v>4547</v>
      </c>
      <c r="AB191" s="331" t="s">
        <v>4152</v>
      </c>
      <c r="AH191"/>
      <c r="AI191"/>
    </row>
    <row r="192" spans="2:35">
      <c r="B192" s="335" t="str">
        <f t="shared" si="17"/>
        <v>Half-overlay</v>
      </c>
      <c r="M192" s="286" t="s">
        <v>99</v>
      </c>
      <c r="N192" s="286" t="s">
        <v>391</v>
      </c>
      <c r="O192" s="286" t="s">
        <v>453</v>
      </c>
      <c r="P192" s="286" t="s">
        <v>2210</v>
      </c>
      <c r="Q192" s="286" t="s">
        <v>2420</v>
      </c>
      <c r="R192" s="487" t="s">
        <v>4953</v>
      </c>
      <c r="AA192" s="332" t="s">
        <v>4548</v>
      </c>
      <c r="AB192" s="332" t="s">
        <v>4153</v>
      </c>
      <c r="AH192"/>
      <c r="AI192"/>
    </row>
    <row r="193" spans="2:35">
      <c r="B193" s="335" t="str">
        <f t="shared" si="17"/>
        <v>Inset</v>
      </c>
      <c r="M193" s="286" t="s">
        <v>100</v>
      </c>
      <c r="N193" s="286" t="s">
        <v>392</v>
      </c>
      <c r="O193" s="286" t="s">
        <v>454</v>
      </c>
      <c r="P193" s="286" t="s">
        <v>2211</v>
      </c>
      <c r="Q193" s="286" t="s">
        <v>1660</v>
      </c>
      <c r="R193" s="487" t="s">
        <v>4954</v>
      </c>
      <c r="AA193" s="332" t="s">
        <v>4551</v>
      </c>
      <c r="AB193" s="331" t="s">
        <v>4154</v>
      </c>
      <c r="AH193"/>
      <c r="AI193"/>
    </row>
    <row r="194" spans="2:35">
      <c r="B194" s="335" t="str">
        <f t="shared" si="17"/>
        <v>45°angle</v>
      </c>
      <c r="M194" s="286" t="s">
        <v>97</v>
      </c>
      <c r="N194" s="286" t="s">
        <v>389</v>
      </c>
      <c r="O194" s="286" t="s">
        <v>451</v>
      </c>
      <c r="P194" s="286" t="s">
        <v>527</v>
      </c>
      <c r="Q194" s="286" t="s">
        <v>2317</v>
      </c>
      <c r="R194" s="487" t="s">
        <v>4951</v>
      </c>
      <c r="AA194" s="332" t="s">
        <v>4552</v>
      </c>
      <c r="AB194" s="331" t="s">
        <v>4155</v>
      </c>
      <c r="AH194"/>
      <c r="AI194"/>
    </row>
    <row r="195" spans="2:35">
      <c r="B195" s="335" t="str">
        <f t="shared" si="17"/>
        <v>Overlay with reversed spring function</v>
      </c>
      <c r="M195" s="286" t="s">
        <v>101</v>
      </c>
      <c r="N195" s="286" t="s">
        <v>101</v>
      </c>
      <c r="O195" s="286" t="s">
        <v>455</v>
      </c>
      <c r="P195" s="286" t="s">
        <v>531</v>
      </c>
      <c r="Q195" s="286" t="s">
        <v>2421</v>
      </c>
      <c r="R195" s="487" t="s">
        <v>4955</v>
      </c>
      <c r="AA195" s="332" t="s">
        <v>4553</v>
      </c>
      <c r="AB195" s="331" t="s">
        <v>4156</v>
      </c>
      <c r="AH195"/>
      <c r="AI195"/>
    </row>
    <row r="196" spans="2:35">
      <c r="B196" s="335" t="str">
        <f t="shared" si="17"/>
        <v>Inset with reversed spring function</v>
      </c>
      <c r="M196" s="286" t="s">
        <v>102</v>
      </c>
      <c r="N196" s="286" t="s">
        <v>102</v>
      </c>
      <c r="O196" s="286" t="s">
        <v>456</v>
      </c>
      <c r="P196" s="286" t="s">
        <v>2212</v>
      </c>
      <c r="Q196" s="286" t="s">
        <v>2422</v>
      </c>
      <c r="R196" s="487" t="s">
        <v>4956</v>
      </c>
      <c r="AA196" s="332" t="s">
        <v>4554</v>
      </c>
      <c r="AB196" s="331" t="s">
        <v>4157</v>
      </c>
      <c r="AH196"/>
      <c r="AI196"/>
    </row>
    <row r="197" spans="2:35">
      <c r="B197" s="335" t="str">
        <f t="shared" si="17"/>
        <v>Clip on plate H2 for screws fixing</v>
      </c>
      <c r="M197" s="328" t="s">
        <v>185</v>
      </c>
      <c r="N197" s="286" t="s">
        <v>393</v>
      </c>
      <c r="O197" s="286" t="s">
        <v>457</v>
      </c>
      <c r="P197" s="286" t="s">
        <v>533</v>
      </c>
      <c r="Q197" s="286" t="s">
        <v>2423</v>
      </c>
      <c r="R197" s="487" t="s">
        <v>4957</v>
      </c>
      <c r="AA197" s="331" t="s">
        <v>4555</v>
      </c>
      <c r="AB197" s="331" t="s">
        <v>4158</v>
      </c>
      <c r="AH197"/>
      <c r="AI197"/>
    </row>
    <row r="198" spans="2:35">
      <c r="B198" s="335" t="str">
        <f t="shared" si="17"/>
        <v>Clip on plate H4 for screws fixing</v>
      </c>
      <c r="M198" s="328" t="s">
        <v>186</v>
      </c>
      <c r="N198" s="286" t="s">
        <v>394</v>
      </c>
      <c r="O198" s="286" t="s">
        <v>458</v>
      </c>
      <c r="P198" s="286" t="s">
        <v>534</v>
      </c>
      <c r="Q198" s="286" t="s">
        <v>2424</v>
      </c>
      <c r="R198" s="487" t="s">
        <v>4958</v>
      </c>
      <c r="AA198" s="331" t="s">
        <v>4556</v>
      </c>
      <c r="AB198" s="331" t="s">
        <v>4159</v>
      </c>
      <c r="AH198"/>
      <c r="AI198"/>
    </row>
    <row r="199" spans="2:35">
      <c r="B199" s="335" t="str">
        <f t="shared" si="17"/>
        <v>Clip on plate H2 for Euro-screws fixing</v>
      </c>
      <c r="M199" s="328" t="s">
        <v>187</v>
      </c>
      <c r="N199" s="286" t="s">
        <v>395</v>
      </c>
      <c r="O199" s="286" t="s">
        <v>459</v>
      </c>
      <c r="P199" s="286" t="s">
        <v>535</v>
      </c>
      <c r="Q199" s="286" t="s">
        <v>2425</v>
      </c>
      <c r="R199" s="487" t="s">
        <v>5326</v>
      </c>
      <c r="AA199" s="332" t="s">
        <v>4557</v>
      </c>
      <c r="AB199" s="331" t="s">
        <v>4160</v>
      </c>
      <c r="AH199"/>
      <c r="AI199"/>
    </row>
    <row r="200" spans="2:35">
      <c r="B200" s="335" t="str">
        <f t="shared" si="17"/>
        <v>Clip on plate H4 for Euro-screws fixing</v>
      </c>
      <c r="M200" s="328" t="s">
        <v>188</v>
      </c>
      <c r="N200" s="286" t="s">
        <v>396</v>
      </c>
      <c r="O200" s="286" t="s">
        <v>460</v>
      </c>
      <c r="P200" s="286" t="s">
        <v>536</v>
      </c>
      <c r="Q200" s="286" t="s">
        <v>2426</v>
      </c>
      <c r="R200" s="487" t="s">
        <v>4959</v>
      </c>
      <c r="AA200" s="332" t="s">
        <v>4558</v>
      </c>
      <c r="AB200" s="331" t="s">
        <v>4161</v>
      </c>
      <c r="AH200"/>
      <c r="AI200"/>
    </row>
    <row r="201" spans="2:35">
      <c r="B201" s="335" t="str">
        <f t="shared" si="17"/>
        <v>Slide on plate H2  for screw fixing</v>
      </c>
      <c r="M201" s="328" t="s">
        <v>189</v>
      </c>
      <c r="N201" s="286" t="s">
        <v>397</v>
      </c>
      <c r="O201" s="286" t="s">
        <v>461</v>
      </c>
      <c r="P201" s="286" t="s">
        <v>537</v>
      </c>
      <c r="Q201" s="286" t="s">
        <v>2427</v>
      </c>
      <c r="R201" s="487" t="s">
        <v>4960</v>
      </c>
      <c r="AA201" s="332" t="s">
        <v>4559</v>
      </c>
      <c r="AB201" s="331" t="s">
        <v>4162</v>
      </c>
      <c r="AH201"/>
      <c r="AI201"/>
    </row>
    <row r="202" spans="2:35">
      <c r="B202" s="335" t="str">
        <f t="shared" si="17"/>
        <v>Slide on plate H4  for screw fixing</v>
      </c>
      <c r="M202" s="328" t="s">
        <v>190</v>
      </c>
      <c r="N202" s="286" t="s">
        <v>398</v>
      </c>
      <c r="O202" s="286" t="s">
        <v>462</v>
      </c>
      <c r="P202" s="286" t="s">
        <v>538</v>
      </c>
      <c r="Q202" s="286" t="s">
        <v>2428</v>
      </c>
      <c r="R202" s="487" t="s">
        <v>4961</v>
      </c>
      <c r="AA202" s="332" t="s">
        <v>4560</v>
      </c>
      <c r="AB202" s="331" t="s">
        <v>4163</v>
      </c>
      <c r="AH202"/>
      <c r="AI202"/>
    </row>
    <row r="203" spans="2:35">
      <c r="B203" s="335" t="str">
        <f t="shared" si="17"/>
        <v>Slide on plate H2  for Euro-screw fixing</v>
      </c>
      <c r="M203" s="328" t="s">
        <v>191</v>
      </c>
      <c r="N203" s="286" t="s">
        <v>399</v>
      </c>
      <c r="O203" s="286" t="s">
        <v>463</v>
      </c>
      <c r="P203" s="286" t="s">
        <v>539</v>
      </c>
      <c r="Q203" s="286" t="s">
        <v>2429</v>
      </c>
      <c r="R203" s="487" t="s">
        <v>4962</v>
      </c>
      <c r="AA203" s="332" t="s">
        <v>4561</v>
      </c>
      <c r="AB203" s="331" t="s">
        <v>4164</v>
      </c>
      <c r="AH203"/>
      <c r="AI203"/>
    </row>
    <row r="204" spans="2:35">
      <c r="B204" s="335" t="str">
        <f t="shared" si="17"/>
        <v>Slide on plate H4  for Euro-screw fixing</v>
      </c>
      <c r="M204" s="328" t="s">
        <v>192</v>
      </c>
      <c r="N204" s="286" t="s">
        <v>400</v>
      </c>
      <c r="O204" s="286" t="s">
        <v>464</v>
      </c>
      <c r="P204" s="286" t="s">
        <v>540</v>
      </c>
      <c r="Q204" s="286" t="s">
        <v>2430</v>
      </c>
      <c r="R204" s="487" t="s">
        <v>4963</v>
      </c>
      <c r="AA204" s="331" t="s">
        <v>4562</v>
      </c>
      <c r="AB204" s="362" t="s">
        <v>4165</v>
      </c>
      <c r="AH204"/>
      <c r="AI204"/>
    </row>
    <row r="205" spans="2:35">
      <c r="B205" s="335" t="str">
        <f t="shared" si="17"/>
        <v>Overlay for Blumotion</v>
      </c>
      <c r="M205" s="328" t="s">
        <v>176</v>
      </c>
      <c r="N205" s="286" t="s">
        <v>401</v>
      </c>
      <c r="O205" s="286" t="s">
        <v>465</v>
      </c>
      <c r="P205" s="286" t="s">
        <v>541</v>
      </c>
      <c r="Q205" s="286" t="s">
        <v>2431</v>
      </c>
      <c r="R205" s="487" t="s">
        <v>4964</v>
      </c>
      <c r="AA205" s="332" t="s">
        <v>4563</v>
      </c>
      <c r="AB205" s="331" t="s">
        <v>4166</v>
      </c>
      <c r="AH205"/>
      <c r="AI205"/>
    </row>
    <row r="206" spans="2:35">
      <c r="B206" s="335" t="str">
        <f t="shared" si="17"/>
        <v>Half-overlay with integrated Blumotion</v>
      </c>
      <c r="M206" s="328" t="s">
        <v>772</v>
      </c>
      <c r="N206" s="286" t="s">
        <v>818</v>
      </c>
      <c r="O206" s="286" t="s">
        <v>2267</v>
      </c>
      <c r="P206" s="286" t="s">
        <v>832</v>
      </c>
      <c r="Q206" s="286" t="s">
        <v>2432</v>
      </c>
      <c r="R206" s="487" t="s">
        <v>4965</v>
      </c>
      <c r="AA206" s="331" t="s">
        <v>4564</v>
      </c>
      <c r="AB206" s="331" t="s">
        <v>4167</v>
      </c>
      <c r="AH206"/>
      <c r="AI206"/>
    </row>
    <row r="207" spans="2:35">
      <c r="B207" s="335" t="str">
        <f t="shared" si="17"/>
        <v>Inset with integrated Blumotion</v>
      </c>
      <c r="M207" s="328" t="s">
        <v>773</v>
      </c>
      <c r="N207" s="286" t="s">
        <v>819</v>
      </c>
      <c r="O207" s="286" t="s">
        <v>2268</v>
      </c>
      <c r="P207" s="286" t="s">
        <v>2213</v>
      </c>
      <c r="Q207" s="286" t="s">
        <v>2433</v>
      </c>
      <c r="R207" s="487" t="s">
        <v>4966</v>
      </c>
      <c r="AA207" s="331" t="s">
        <v>4565</v>
      </c>
      <c r="AB207" s="331" t="s">
        <v>4216</v>
      </c>
      <c r="AH207"/>
      <c r="AI207"/>
    </row>
    <row r="208" spans="2:35">
      <c r="B208" s="335" t="str">
        <f t="shared" si="17"/>
        <v>45° clip-on overlay</v>
      </c>
      <c r="M208" s="286" t="s">
        <v>178</v>
      </c>
      <c r="N208" s="286" t="s">
        <v>402</v>
      </c>
      <c r="O208" s="286" t="s">
        <v>466</v>
      </c>
      <c r="P208" s="286" t="s">
        <v>542</v>
      </c>
      <c r="Q208" s="286" t="s">
        <v>2434</v>
      </c>
      <c r="R208" s="487" t="s">
        <v>4967</v>
      </c>
      <c r="AA208" s="331" t="s">
        <v>4566</v>
      </c>
      <c r="AB208" s="362" t="s">
        <v>4214</v>
      </c>
      <c r="AH208"/>
      <c r="AI208"/>
    </row>
    <row r="209" spans="2:35">
      <c r="B209" s="335" t="str">
        <f t="shared" si="17"/>
        <v>45° clip-on half overlay</v>
      </c>
      <c r="M209" s="286" t="s">
        <v>177</v>
      </c>
      <c r="N209" s="286" t="s">
        <v>177</v>
      </c>
      <c r="O209" s="286" t="s">
        <v>467</v>
      </c>
      <c r="P209" s="286" t="s">
        <v>2214</v>
      </c>
      <c r="Q209" s="286" t="s">
        <v>2435</v>
      </c>
      <c r="R209" s="487" t="s">
        <v>4968</v>
      </c>
      <c r="AA209" s="331" t="s">
        <v>4567</v>
      </c>
      <c r="AB209" s="362" t="s">
        <v>4168</v>
      </c>
      <c r="AH209"/>
      <c r="AI209"/>
    </row>
    <row r="210" spans="2:35">
      <c r="B210" s="335" t="str">
        <f t="shared" si="17"/>
        <v>Overlay without spring  (TIP-ON)</v>
      </c>
      <c r="M210" s="286" t="s">
        <v>103</v>
      </c>
      <c r="N210" s="286" t="s">
        <v>103</v>
      </c>
      <c r="O210" s="286" t="s">
        <v>468</v>
      </c>
      <c r="P210" s="286" t="s">
        <v>544</v>
      </c>
      <c r="Q210" s="286" t="s">
        <v>2436</v>
      </c>
      <c r="R210" s="487" t="s">
        <v>4969</v>
      </c>
      <c r="AA210" s="331" t="s">
        <v>4568</v>
      </c>
      <c r="AB210" s="331" t="s">
        <v>4169</v>
      </c>
      <c r="AH210"/>
      <c r="AI210"/>
    </row>
    <row r="211" spans="2:35">
      <c r="B211" s="335" t="str">
        <f t="shared" si="17"/>
        <v>Inset without spring (TIP-ON)</v>
      </c>
      <c r="M211" s="286" t="s">
        <v>179</v>
      </c>
      <c r="N211" s="286" t="s">
        <v>403</v>
      </c>
      <c r="O211" s="286" t="s">
        <v>469</v>
      </c>
      <c r="P211" s="286" t="s">
        <v>545</v>
      </c>
      <c r="Q211" s="286" t="s">
        <v>2437</v>
      </c>
      <c r="R211" s="487" t="s">
        <v>4970</v>
      </c>
      <c r="AA211" s="331" t="s">
        <v>4569</v>
      </c>
      <c r="AB211" s="331" t="s">
        <v>4170</v>
      </c>
      <c r="AH211"/>
      <c r="AI211"/>
    </row>
    <row r="212" spans="2:35">
      <c r="B212" s="335" t="str">
        <f t="shared" si="17"/>
        <v>Clip-on for Euro-screw fixing</v>
      </c>
      <c r="M212" s="286" t="s">
        <v>181</v>
      </c>
      <c r="N212" s="286" t="s">
        <v>404</v>
      </c>
      <c r="O212" s="286" t="s">
        <v>470</v>
      </c>
      <c r="P212" s="286" t="s">
        <v>546</v>
      </c>
      <c r="Q212" s="286" t="s">
        <v>2438</v>
      </c>
      <c r="R212" s="487" t="s">
        <v>4971</v>
      </c>
      <c r="AA212" s="331" t="s">
        <v>4570</v>
      </c>
      <c r="AB212" s="362" t="s">
        <v>3601</v>
      </c>
      <c r="AH212"/>
      <c r="AI212"/>
    </row>
    <row r="213" spans="2:35">
      <c r="B213" s="335" t="str">
        <f t="shared" si="17"/>
        <v>Clip-on for screw fixing</v>
      </c>
      <c r="M213" s="286" t="s">
        <v>180</v>
      </c>
      <c r="N213" s="286" t="s">
        <v>405</v>
      </c>
      <c r="O213" s="286" t="s">
        <v>471</v>
      </c>
      <c r="P213" s="286" t="s">
        <v>547</v>
      </c>
      <c r="Q213" s="286" t="s">
        <v>2439</v>
      </c>
      <c r="R213" s="487" t="s">
        <v>4972</v>
      </c>
      <c r="AA213" s="331" t="s">
        <v>4571</v>
      </c>
      <c r="AB213" s="362" t="s">
        <v>4215</v>
      </c>
      <c r="AH213"/>
      <c r="AI213"/>
    </row>
    <row r="214" spans="2:35">
      <c r="B214" s="335" t="str">
        <f t="shared" si="17"/>
        <v>Increased by 6 mm</v>
      </c>
      <c r="M214" s="286" t="s">
        <v>182</v>
      </c>
      <c r="N214" s="286" t="s">
        <v>406</v>
      </c>
      <c r="O214" s="286" t="s">
        <v>2269</v>
      </c>
      <c r="P214" s="286" t="s">
        <v>548</v>
      </c>
      <c r="Q214" s="286" t="s">
        <v>1680</v>
      </c>
      <c r="R214" s="487" t="s">
        <v>4973</v>
      </c>
      <c r="AA214" s="331" t="s">
        <v>4572</v>
      </c>
      <c r="AB214" s="362" t="s">
        <v>4171</v>
      </c>
      <c r="AH214"/>
      <c r="AI214"/>
    </row>
    <row r="215" spans="2:35">
      <c r="B215" s="335" t="str">
        <f t="shared" si="17"/>
        <v>45° clip-on</v>
      </c>
      <c r="M215" s="286" t="s">
        <v>0</v>
      </c>
      <c r="N215" s="286" t="s">
        <v>407</v>
      </c>
      <c r="O215" s="286" t="s">
        <v>0</v>
      </c>
      <c r="P215" s="286" t="s">
        <v>2215</v>
      </c>
      <c r="Q215" s="286" t="s">
        <v>2440</v>
      </c>
      <c r="R215" s="487" t="s">
        <v>4974</v>
      </c>
      <c r="AA215" s="331" t="s">
        <v>4573</v>
      </c>
      <c r="AB215" s="362" t="s">
        <v>4172</v>
      </c>
      <c r="AH215"/>
      <c r="AI215"/>
    </row>
    <row r="216" spans="2:35">
      <c r="B216" s="335" t="str">
        <f t="shared" si="17"/>
        <v>Clip-on H0 for Euro-Screw fixing</v>
      </c>
      <c r="M216" s="286" t="s">
        <v>184</v>
      </c>
      <c r="N216" s="286" t="s">
        <v>408</v>
      </c>
      <c r="O216" s="286" t="s">
        <v>473</v>
      </c>
      <c r="P216" s="286" t="s">
        <v>549</v>
      </c>
      <c r="Q216" s="286" t="s">
        <v>2441</v>
      </c>
      <c r="R216" s="487" t="s">
        <v>4975</v>
      </c>
      <c r="AA216" s="331" t="s">
        <v>4574</v>
      </c>
      <c r="AB216" s="362" t="s">
        <v>4173</v>
      </c>
      <c r="AH216"/>
      <c r="AI216"/>
    </row>
    <row r="217" spans="2:35">
      <c r="B217" s="335" t="str">
        <f t="shared" si="17"/>
        <v>Clip-on H0 for screw fixing</v>
      </c>
      <c r="M217" s="286" t="s">
        <v>183</v>
      </c>
      <c r="N217" s="286" t="s">
        <v>409</v>
      </c>
      <c r="O217" s="286" t="s">
        <v>474</v>
      </c>
      <c r="P217" s="286" t="s">
        <v>550</v>
      </c>
      <c r="Q217" s="286" t="s">
        <v>2442</v>
      </c>
      <c r="R217" s="487" t="s">
        <v>4976</v>
      </c>
      <c r="AA217" s="331" t="s">
        <v>4575</v>
      </c>
      <c r="AB217" s="362" t="s">
        <v>4174</v>
      </c>
      <c r="AH217"/>
      <c r="AI217"/>
    </row>
    <row r="218" spans="2:35">
      <c r="B218" s="335" t="str">
        <f t="shared" si="17"/>
        <v>Select Frame Position</v>
      </c>
      <c r="M218" s="286" t="s">
        <v>214</v>
      </c>
      <c r="N218" s="286" t="s">
        <v>410</v>
      </c>
      <c r="O218" s="286" t="s">
        <v>2270</v>
      </c>
      <c r="P218" s="286" t="s">
        <v>551</v>
      </c>
      <c r="Q218" s="286" t="s">
        <v>2318</v>
      </c>
      <c r="R218" s="487" t="s">
        <v>4977</v>
      </c>
      <c r="AA218" s="330" t="s">
        <v>4576</v>
      </c>
      <c r="AB218" s="362" t="s">
        <v>4175</v>
      </c>
      <c r="AH218"/>
      <c r="AI218"/>
    </row>
    <row r="219" spans="2:35">
      <c r="B219" s="335" t="str">
        <f t="shared" si="17"/>
        <v>Hinge manufacturer</v>
      </c>
      <c r="M219" s="286" t="s">
        <v>194</v>
      </c>
      <c r="N219" s="286" t="s">
        <v>411</v>
      </c>
      <c r="O219" s="286" t="s">
        <v>476</v>
      </c>
      <c r="P219" s="286" t="s">
        <v>552</v>
      </c>
      <c r="Q219" s="286" t="s">
        <v>2319</v>
      </c>
      <c r="R219" s="487" t="s">
        <v>4978</v>
      </c>
      <c r="AA219" s="168" t="s">
        <v>4577</v>
      </c>
      <c r="AB219" s="338" t="s">
        <v>4176</v>
      </c>
      <c r="AH219"/>
      <c r="AI219"/>
    </row>
    <row r="220" spans="2:35">
      <c r="B220" s="335" t="str">
        <f t="shared" si="17"/>
        <v>Type of hinge</v>
      </c>
      <c r="M220" s="286" t="s">
        <v>195</v>
      </c>
      <c r="N220" s="286" t="s">
        <v>412</v>
      </c>
      <c r="O220" s="286" t="s">
        <v>477</v>
      </c>
      <c r="P220" s="286" t="s">
        <v>553</v>
      </c>
      <c r="Q220" s="286" t="s">
        <v>2443</v>
      </c>
      <c r="R220" s="487" t="s">
        <v>4979</v>
      </c>
      <c r="AA220" s="168" t="s">
        <v>4578</v>
      </c>
      <c r="AB220" s="338" t="s">
        <v>4177</v>
      </c>
      <c r="AH220"/>
      <c r="AI220"/>
    </row>
    <row r="221" spans="2:35">
      <c r="B221" s="335" t="str">
        <f t="shared" si="17"/>
        <v>Type of Aventos</v>
      </c>
      <c r="M221" s="328" t="s">
        <v>196</v>
      </c>
      <c r="N221" s="286" t="s">
        <v>196</v>
      </c>
      <c r="O221" s="286" t="s">
        <v>478</v>
      </c>
      <c r="P221" s="286" t="s">
        <v>2216</v>
      </c>
      <c r="Q221" s="286" t="s">
        <v>2444</v>
      </c>
      <c r="R221" s="487" t="s">
        <v>4980</v>
      </c>
      <c r="AA221" s="338" t="s">
        <v>4579</v>
      </c>
      <c r="AB221" s="338" t="s">
        <v>4178</v>
      </c>
      <c r="AH221"/>
      <c r="AI221"/>
    </row>
    <row r="222" spans="2:35">
      <c r="B222" s="335" t="str">
        <f t="shared" si="17"/>
        <v>Type of mounting plate</v>
      </c>
      <c r="M222" s="328" t="s">
        <v>197</v>
      </c>
      <c r="N222" s="286" t="s">
        <v>197</v>
      </c>
      <c r="O222" s="286" t="s">
        <v>479</v>
      </c>
      <c r="P222" s="286" t="s">
        <v>555</v>
      </c>
      <c r="Q222" s="286" t="s">
        <v>2445</v>
      </c>
      <c r="R222" s="487" t="s">
        <v>4981</v>
      </c>
      <c r="AA222" s="338" t="s">
        <v>4580</v>
      </c>
      <c r="AB222" s="338" t="s">
        <v>3632</v>
      </c>
      <c r="AH222"/>
      <c r="AI222"/>
    </row>
    <row r="223" spans="2:35">
      <c r="B223" s="335" t="str">
        <f t="shared" si="17"/>
        <v>Number of hinges per frame</v>
      </c>
      <c r="M223" s="328" t="s">
        <v>3305</v>
      </c>
      <c r="N223" s="286" t="s">
        <v>413</v>
      </c>
      <c r="O223" s="286" t="s">
        <v>480</v>
      </c>
      <c r="P223" s="286" t="s">
        <v>556</v>
      </c>
      <c r="Q223" s="286" t="s">
        <v>2320</v>
      </c>
      <c r="R223" s="487" t="s">
        <v>4982</v>
      </c>
      <c r="AA223" s="338" t="s">
        <v>4581</v>
      </c>
      <c r="AB223" s="338" t="s">
        <v>4179</v>
      </c>
      <c r="AH223"/>
      <c r="AI223"/>
    </row>
    <row r="224" spans="2:35">
      <c r="B224" s="335" t="str">
        <f t="shared" si="17"/>
        <v>Lift-up pistons</v>
      </c>
      <c r="M224" s="328" t="s">
        <v>209</v>
      </c>
      <c r="N224" s="286" t="s">
        <v>414</v>
      </c>
      <c r="O224" s="286" t="s">
        <v>481</v>
      </c>
      <c r="P224" s="286" t="s">
        <v>2217</v>
      </c>
      <c r="Q224" s="286" t="s">
        <v>2446</v>
      </c>
      <c r="R224" s="487" t="s">
        <v>4983</v>
      </c>
      <c r="AA224" s="338" t="s">
        <v>4582</v>
      </c>
      <c r="AB224" s="338" t="s">
        <v>4217</v>
      </c>
      <c r="AH224"/>
      <c r="AI224"/>
    </row>
    <row r="225" spans="2:35">
      <c r="B225" s="335" t="str">
        <f t="shared" si="17"/>
        <v>Supply including specified fittings</v>
      </c>
      <c r="M225" s="328" t="s">
        <v>198</v>
      </c>
      <c r="N225" s="286" t="s">
        <v>415</v>
      </c>
      <c r="O225" s="286" t="s">
        <v>515</v>
      </c>
      <c r="P225" s="286" t="s">
        <v>2218</v>
      </c>
      <c r="Q225" s="286" t="s">
        <v>2321</v>
      </c>
      <c r="R225" s="487" t="s">
        <v>4984</v>
      </c>
      <c r="AA225" s="487" t="s">
        <v>4834</v>
      </c>
      <c r="AB225" s="331" t="s">
        <v>4441</v>
      </c>
      <c r="AH225"/>
      <c r="AI225"/>
    </row>
    <row r="226" spans="2:35">
      <c r="B226" s="335" t="str">
        <f t="shared" si="17"/>
        <v>Position</v>
      </c>
      <c r="M226" s="328" t="s">
        <v>3084</v>
      </c>
      <c r="N226" s="286" t="s">
        <v>3085</v>
      </c>
      <c r="O226" s="286" t="s">
        <v>3086</v>
      </c>
      <c r="P226" s="286" t="s">
        <v>3088</v>
      </c>
      <c r="Q226" s="286" t="s">
        <v>3087</v>
      </c>
      <c r="R226" s="487" t="s">
        <v>4985</v>
      </c>
      <c r="AA226" s="487" t="s">
        <v>4835</v>
      </c>
      <c r="AB226" s="331" t="s">
        <v>4442</v>
      </c>
      <c r="AH226"/>
      <c r="AI226"/>
    </row>
    <row r="227" spans="2:35">
      <c r="B227" s="335" t="str">
        <f t="shared" si="17"/>
        <v>Top</v>
      </c>
      <c r="M227" s="328" t="s">
        <v>221</v>
      </c>
      <c r="N227" s="286" t="s">
        <v>2088</v>
      </c>
      <c r="O227" s="286" t="s">
        <v>2086</v>
      </c>
      <c r="P227" s="286" t="s">
        <v>2087</v>
      </c>
      <c r="Q227" s="286" t="s">
        <v>2322</v>
      </c>
      <c r="R227" s="487" t="s">
        <v>4986</v>
      </c>
      <c r="AA227" s="487" t="s">
        <v>4836</v>
      </c>
      <c r="AB227" s="331" t="s">
        <v>4443</v>
      </c>
      <c r="AH227"/>
      <c r="AI227"/>
    </row>
    <row r="228" spans="2:35">
      <c r="B228" s="335" t="str">
        <f t="shared" si="17"/>
        <v>Bottom</v>
      </c>
      <c r="M228" s="328" t="s">
        <v>222</v>
      </c>
      <c r="N228" s="286" t="s">
        <v>222</v>
      </c>
      <c r="O228" s="286" t="s">
        <v>2271</v>
      </c>
      <c r="P228" s="286" t="s">
        <v>2089</v>
      </c>
      <c r="Q228" s="286" t="s">
        <v>1734</v>
      </c>
      <c r="R228" s="487" t="s">
        <v>4987</v>
      </c>
      <c r="AA228" s="487" t="s">
        <v>4837</v>
      </c>
      <c r="AB228" s="331" t="s">
        <v>4485</v>
      </c>
      <c r="AH228"/>
      <c r="AI228"/>
    </row>
    <row r="229" spans="2:35">
      <c r="B229" s="335" t="str">
        <f t="shared" si="17"/>
        <v>Right</v>
      </c>
      <c r="M229" s="328" t="s">
        <v>212</v>
      </c>
      <c r="N229" s="286" t="s">
        <v>417</v>
      </c>
      <c r="O229" s="286" t="s">
        <v>483</v>
      </c>
      <c r="P229" s="286" t="s">
        <v>560</v>
      </c>
      <c r="Q229" s="286" t="s">
        <v>1693</v>
      </c>
      <c r="R229" s="487" t="s">
        <v>4988</v>
      </c>
      <c r="AA229" s="487" t="s">
        <v>4838</v>
      </c>
      <c r="AB229" s="331" t="s">
        <v>4444</v>
      </c>
      <c r="AH229"/>
      <c r="AI229"/>
    </row>
    <row r="230" spans="2:35">
      <c r="B230" s="335" t="str">
        <f t="shared" si="17"/>
        <v>Left</v>
      </c>
      <c r="M230" s="328" t="s">
        <v>211</v>
      </c>
      <c r="N230" s="286" t="s">
        <v>418</v>
      </c>
      <c r="O230" s="286" t="s">
        <v>484</v>
      </c>
      <c r="P230" s="286" t="s">
        <v>561</v>
      </c>
      <c r="Q230" s="286" t="s">
        <v>1694</v>
      </c>
      <c r="R230" s="487" t="s">
        <v>4989</v>
      </c>
      <c r="AA230" s="487" t="s">
        <v>4839</v>
      </c>
      <c r="AB230" s="331" t="s">
        <v>4445</v>
      </c>
      <c r="AH230"/>
      <c r="AI230"/>
    </row>
    <row r="231" spans="2:35">
      <c r="B231" s="335" t="str">
        <f t="shared" si="17"/>
        <v>2 Pieces (both sides)</v>
      </c>
      <c r="M231" s="328" t="s">
        <v>213</v>
      </c>
      <c r="N231" s="286" t="s">
        <v>419</v>
      </c>
      <c r="O231" s="286" t="s">
        <v>485</v>
      </c>
      <c r="P231" s="286" t="s">
        <v>562</v>
      </c>
      <c r="Q231" s="286" t="s">
        <v>1695</v>
      </c>
      <c r="R231" s="487" t="s">
        <v>4990</v>
      </c>
      <c r="AA231" s="487" t="s">
        <v>4840</v>
      </c>
      <c r="AB231" s="331" t="s">
        <v>4446</v>
      </c>
      <c r="AH231"/>
      <c r="AI231"/>
    </row>
    <row r="232" spans="2:35">
      <c r="B232" s="335" t="str">
        <f t="shared" si="17"/>
        <v>Second door type</v>
      </c>
      <c r="M232" s="328" t="s">
        <v>341</v>
      </c>
      <c r="N232" s="286" t="s">
        <v>420</v>
      </c>
      <c r="O232" s="286" t="s">
        <v>514</v>
      </c>
      <c r="P232" s="286" t="s">
        <v>2219</v>
      </c>
      <c r="Q232" s="286" t="s">
        <v>2447</v>
      </c>
      <c r="R232" s="487" t="s">
        <v>4991</v>
      </c>
      <c r="AA232" s="487" t="s">
        <v>4841</v>
      </c>
      <c r="AB232" s="332" t="s">
        <v>4592</v>
      </c>
      <c r="AH232"/>
      <c r="AI232"/>
    </row>
    <row r="233" spans="2:35">
      <c r="B233" s="335" t="str">
        <f t="shared" si="17"/>
        <v>Narrow ALU Frame</v>
      </c>
      <c r="M233" s="328" t="s">
        <v>215</v>
      </c>
      <c r="N233" s="286" t="s">
        <v>421</v>
      </c>
      <c r="O233" s="286" t="s">
        <v>486</v>
      </c>
      <c r="P233" s="286" t="s">
        <v>564</v>
      </c>
      <c r="Q233" s="286" t="s">
        <v>2323</v>
      </c>
      <c r="R233" s="487" t="s">
        <v>4992</v>
      </c>
      <c r="AA233" s="487" t="s">
        <v>4842</v>
      </c>
      <c r="AB233" s="331" t="s">
        <v>4447</v>
      </c>
      <c r="AH233"/>
      <c r="AI233"/>
    </row>
    <row r="234" spans="2:35">
      <c r="B234" s="335" t="str">
        <f t="shared" ref="B234:B297" si="18">IF($D$1=1,M234,IF($D$1=2,N234,IF($D$1=3,O234,IF($D$1=4,P234,IF($D$1=5,Q234,IF($D$1=6,R234,0))))))</f>
        <v>Wide ALU Frame</v>
      </c>
      <c r="M234" s="328" t="s">
        <v>216</v>
      </c>
      <c r="N234" s="286" t="s">
        <v>422</v>
      </c>
      <c r="O234" s="286" t="s">
        <v>487</v>
      </c>
      <c r="P234" s="286" t="s">
        <v>565</v>
      </c>
      <c r="Q234" s="286" t="s">
        <v>2324</v>
      </c>
      <c r="R234" s="487" t="s">
        <v>4993</v>
      </c>
      <c r="AA234" s="487" t="s">
        <v>4843</v>
      </c>
      <c r="AB234" s="331" t="s">
        <v>4448</v>
      </c>
      <c r="AH234"/>
      <c r="AI234"/>
    </row>
    <row r="235" spans="2:35">
      <c r="B235" s="335" t="str">
        <f t="shared" si="18"/>
        <v xml:space="preserve">MDF 16 mm </v>
      </c>
      <c r="M235" s="328" t="s">
        <v>218</v>
      </c>
      <c r="N235" s="286" t="s">
        <v>423</v>
      </c>
      <c r="O235" s="286" t="s">
        <v>488</v>
      </c>
      <c r="P235" s="286" t="s">
        <v>566</v>
      </c>
      <c r="Q235" s="286" t="s">
        <v>2448</v>
      </c>
      <c r="R235" s="487" t="s">
        <v>4994</v>
      </c>
      <c r="AA235" s="487" t="s">
        <v>4844</v>
      </c>
      <c r="AB235" s="331" t="s">
        <v>4449</v>
      </c>
      <c r="AH235"/>
      <c r="AI235"/>
    </row>
    <row r="236" spans="2:35">
      <c r="B236" s="335" t="str">
        <f t="shared" si="18"/>
        <v xml:space="preserve">MDF 18 mm </v>
      </c>
      <c r="M236" s="328" t="s">
        <v>217</v>
      </c>
      <c r="N236" s="286" t="s">
        <v>424</v>
      </c>
      <c r="O236" s="286" t="s">
        <v>489</v>
      </c>
      <c r="P236" s="286" t="s">
        <v>567</v>
      </c>
      <c r="Q236" s="286" t="s">
        <v>2449</v>
      </c>
      <c r="R236" s="487" t="s">
        <v>4995</v>
      </c>
      <c r="AA236" s="487" t="s">
        <v>4845</v>
      </c>
      <c r="AB236" s="331" t="s">
        <v>4489</v>
      </c>
      <c r="AH236"/>
      <c r="AI236"/>
    </row>
    <row r="237" spans="2:35">
      <c r="B237" s="335" t="str">
        <f t="shared" si="18"/>
        <v>DTDL 18 mm</v>
      </c>
      <c r="M237" s="328" t="s">
        <v>219</v>
      </c>
      <c r="N237" s="286" t="s">
        <v>425</v>
      </c>
      <c r="O237" s="286" t="s">
        <v>2272</v>
      </c>
      <c r="P237" s="286" t="s">
        <v>2220</v>
      </c>
      <c r="Q237" s="286" t="s">
        <v>1898</v>
      </c>
      <c r="R237" s="487" t="s">
        <v>4996</v>
      </c>
      <c r="AA237" s="487" t="s">
        <v>4846</v>
      </c>
      <c r="AB237" s="331" t="s">
        <v>4493</v>
      </c>
      <c r="AH237"/>
      <c r="AI237"/>
    </row>
    <row r="238" spans="2:35">
      <c r="B238" s="335" t="str">
        <f t="shared" si="18"/>
        <v>Hinge position</v>
      </c>
      <c r="M238" s="328" t="s">
        <v>220</v>
      </c>
      <c r="N238" s="286" t="s">
        <v>426</v>
      </c>
      <c r="O238" s="286" t="s">
        <v>491</v>
      </c>
      <c r="P238" s="286" t="s">
        <v>569</v>
      </c>
      <c r="Q238" s="286" t="s">
        <v>2325</v>
      </c>
      <c r="R238" s="487" t="s">
        <v>4997</v>
      </c>
      <c r="AA238" s="487" t="s">
        <v>4847</v>
      </c>
      <c r="AB238" s="331" t="s">
        <v>4497</v>
      </c>
      <c r="AH238"/>
      <c r="AI238"/>
    </row>
    <row r="239" spans="2:35">
      <c r="B239" s="335" t="str">
        <f t="shared" si="18"/>
        <v>Top</v>
      </c>
      <c r="M239" s="328" t="s">
        <v>221</v>
      </c>
      <c r="N239" s="286" t="s">
        <v>427</v>
      </c>
      <c r="O239" s="286" t="s">
        <v>2086</v>
      </c>
      <c r="P239" s="286" t="s">
        <v>2087</v>
      </c>
      <c r="Q239" s="286" t="s">
        <v>2322</v>
      </c>
      <c r="R239" s="487" t="s">
        <v>4986</v>
      </c>
      <c r="AA239" s="487" t="s">
        <v>4848</v>
      </c>
      <c r="AB239" s="331" t="s">
        <v>4450</v>
      </c>
      <c r="AH239"/>
      <c r="AI239"/>
    </row>
    <row r="240" spans="2:35">
      <c r="B240" s="335" t="str">
        <f t="shared" si="18"/>
        <v>Bottom</v>
      </c>
      <c r="M240" s="328" t="s">
        <v>222</v>
      </c>
      <c r="N240" s="286" t="s">
        <v>222</v>
      </c>
      <c r="O240" s="286" t="s">
        <v>2271</v>
      </c>
      <c r="P240" s="286" t="s">
        <v>2089</v>
      </c>
      <c r="Q240" s="286" t="s">
        <v>1734</v>
      </c>
      <c r="R240" s="487" t="s">
        <v>4987</v>
      </c>
      <c r="AA240" s="487" t="s">
        <v>4849</v>
      </c>
      <c r="AB240" s="331" t="s">
        <v>4451</v>
      </c>
      <c r="AH240"/>
      <c r="AI240"/>
    </row>
    <row r="241" spans="2:35">
      <c r="B241" s="335" t="str">
        <f t="shared" si="18"/>
        <v>select from list</v>
      </c>
      <c r="M241" s="328" t="s">
        <v>4736</v>
      </c>
      <c r="N241" s="286" t="s">
        <v>4737</v>
      </c>
      <c r="O241" s="286" t="s">
        <v>4738</v>
      </c>
      <c r="P241" s="286" t="s">
        <v>4739</v>
      </c>
      <c r="Q241" s="286" t="s">
        <v>4740</v>
      </c>
      <c r="R241" s="487" t="s">
        <v>4998</v>
      </c>
      <c r="AA241" s="487" t="s">
        <v>4850</v>
      </c>
      <c r="AB241" s="331" t="s">
        <v>4452</v>
      </c>
      <c r="AH241"/>
      <c r="AI241"/>
    </row>
    <row r="242" spans="2:35">
      <c r="B242" s="335" t="str">
        <f t="shared" si="18"/>
        <v>Distance from edge</v>
      </c>
      <c r="M242" s="328" t="s">
        <v>3171</v>
      </c>
      <c r="N242" s="286" t="s">
        <v>3172</v>
      </c>
      <c r="O242" s="286" t="s">
        <v>2090</v>
      </c>
      <c r="P242" s="286" t="s">
        <v>2091</v>
      </c>
      <c r="Q242" s="286" t="s">
        <v>2326</v>
      </c>
      <c r="R242" s="487" t="s">
        <v>4999</v>
      </c>
      <c r="AA242" s="487" t="s">
        <v>4851</v>
      </c>
      <c r="AB242" s="331" t="s">
        <v>4453</v>
      </c>
      <c r="AH242"/>
      <c r="AI242"/>
    </row>
    <row r="243" spans="2:35">
      <c r="B243" s="335" t="str">
        <f t="shared" si="18"/>
        <v>Hinge distance from edge of door</v>
      </c>
      <c r="M243" s="328" t="s">
        <v>343</v>
      </c>
      <c r="N243" s="286" t="s">
        <v>429</v>
      </c>
      <c r="O243" s="286" t="s">
        <v>495</v>
      </c>
      <c r="P243" s="286" t="s">
        <v>573</v>
      </c>
      <c r="Q243" s="286" t="s">
        <v>2450</v>
      </c>
      <c r="R243" s="487" t="s">
        <v>5000</v>
      </c>
      <c r="AA243" s="487" t="s">
        <v>4852</v>
      </c>
      <c r="AB243" s="332" t="s">
        <v>4501</v>
      </c>
      <c r="AH243"/>
      <c r="AI243"/>
    </row>
    <row r="244" spans="2:35">
      <c r="B244" s="335" t="str">
        <f t="shared" si="18"/>
        <v>Fill in only if drilling is not symmetrical</v>
      </c>
      <c r="M244" s="328" t="s">
        <v>344</v>
      </c>
      <c r="N244" s="286" t="s">
        <v>430</v>
      </c>
      <c r="O244" s="286" t="s">
        <v>1550</v>
      </c>
      <c r="P244" s="286" t="s">
        <v>574</v>
      </c>
      <c r="Q244" s="286" t="s">
        <v>2451</v>
      </c>
      <c r="R244" s="487" t="s">
        <v>5001</v>
      </c>
      <c r="AA244" s="487" t="s">
        <v>4853</v>
      </c>
      <c r="AB244" s="331" t="s">
        <v>4454</v>
      </c>
      <c r="AH244"/>
      <c r="AI244"/>
    </row>
    <row r="245" spans="2:35">
      <c r="B245" s="335" t="str">
        <f t="shared" si="18"/>
        <v>Ordering Form - ALU frames</v>
      </c>
      <c r="M245" s="328" t="s">
        <v>345</v>
      </c>
      <c r="N245" s="286" t="s">
        <v>431</v>
      </c>
      <c r="O245" s="286" t="s">
        <v>496</v>
      </c>
      <c r="P245" s="286" t="s">
        <v>640</v>
      </c>
      <c r="Q245" s="286" t="s">
        <v>2452</v>
      </c>
      <c r="R245" s="487" t="s">
        <v>5002</v>
      </c>
      <c r="AA245" s="487" t="s">
        <v>4854</v>
      </c>
      <c r="AB245" s="331" t="s">
        <v>4455</v>
      </c>
      <c r="AH245"/>
      <c r="AI245"/>
    </row>
    <row r="246" spans="2:35">
      <c r="B246" s="335" t="str">
        <f t="shared" si="18"/>
        <v>Fill the form from top to the bottom. In case of change some boxes, please check previous data.</v>
      </c>
      <c r="M246" s="328" t="s">
        <v>381</v>
      </c>
      <c r="N246" s="286" t="s">
        <v>438</v>
      </c>
      <c r="O246" s="286" t="s">
        <v>497</v>
      </c>
      <c r="P246" s="286" t="s">
        <v>2221</v>
      </c>
      <c r="Q246" s="286" t="s">
        <v>2453</v>
      </c>
      <c r="R246" s="487" t="s">
        <v>5003</v>
      </c>
      <c r="AA246" s="487" t="s">
        <v>4857</v>
      </c>
      <c r="AB246" s="331" t="s">
        <v>4458</v>
      </c>
      <c r="AH246"/>
      <c r="AI246"/>
    </row>
    <row r="247" spans="2:35">
      <c r="B247" s="335" t="str">
        <f t="shared" si="18"/>
        <v>Prices are valid from  27.1.2026/Version 7.1</v>
      </c>
      <c r="M247" s="328" t="s">
        <v>5482</v>
      </c>
      <c r="N247" s="286" t="s">
        <v>5483</v>
      </c>
      <c r="O247" s="286" t="s">
        <v>5484</v>
      </c>
      <c r="P247" s="286" t="s">
        <v>5485</v>
      </c>
      <c r="Q247" s="286" t="s">
        <v>5486</v>
      </c>
      <c r="R247" s="487" t="s">
        <v>5487</v>
      </c>
      <c r="AA247" s="487" t="s">
        <v>4858</v>
      </c>
      <c r="AB247" s="331" t="s">
        <v>4505</v>
      </c>
      <c r="AH247"/>
      <c r="AI247"/>
    </row>
    <row r="248" spans="2:35">
      <c r="B248" s="335" t="str">
        <f t="shared" si="18"/>
        <v>Total Price</v>
      </c>
      <c r="M248" s="328" t="s">
        <v>16</v>
      </c>
      <c r="N248" s="286" t="s">
        <v>432</v>
      </c>
      <c r="O248" s="286" t="s">
        <v>498</v>
      </c>
      <c r="P248" s="286" t="s">
        <v>576</v>
      </c>
      <c r="Q248" s="286" t="s">
        <v>2327</v>
      </c>
      <c r="R248" s="487" t="s">
        <v>5004</v>
      </c>
      <c r="AA248" s="487" t="s">
        <v>4859</v>
      </c>
      <c r="AB248" s="332" t="s">
        <v>4509</v>
      </c>
      <c r="AH248"/>
      <c r="AI248"/>
    </row>
    <row r="249" spans="2:35">
      <c r="B249" s="335" t="str">
        <f t="shared" si="18"/>
        <v>Customer</v>
      </c>
      <c r="M249" s="328" t="s">
        <v>347</v>
      </c>
      <c r="N249" s="286" t="s">
        <v>347</v>
      </c>
      <c r="O249" s="286" t="s">
        <v>499</v>
      </c>
      <c r="P249" s="286" t="s">
        <v>577</v>
      </c>
      <c r="Q249" s="286" t="s">
        <v>1712</v>
      </c>
      <c r="R249" s="487" t="s">
        <v>5005</v>
      </c>
      <c r="AA249" s="487" t="s">
        <v>4862</v>
      </c>
      <c r="AB249" s="331" t="s">
        <v>4461</v>
      </c>
      <c r="AH249"/>
      <c r="AI249"/>
    </row>
    <row r="250" spans="2:35">
      <c r="B250" s="335" t="str">
        <f t="shared" si="18"/>
        <v>Phone:</v>
      </c>
      <c r="M250" s="328" t="s">
        <v>349</v>
      </c>
      <c r="N250" s="286" t="s">
        <v>433</v>
      </c>
      <c r="O250" s="286" t="s">
        <v>500</v>
      </c>
      <c r="P250" s="286" t="s">
        <v>578</v>
      </c>
      <c r="Q250" s="286" t="s">
        <v>2454</v>
      </c>
      <c r="R250" s="487" t="s">
        <v>5006</v>
      </c>
      <c r="AA250" s="487" t="s">
        <v>4863</v>
      </c>
      <c r="AB250" s="331" t="s">
        <v>4462</v>
      </c>
      <c r="AH250"/>
      <c r="AI250"/>
    </row>
    <row r="251" spans="2:35">
      <c r="B251" s="335" t="str">
        <f t="shared" si="18"/>
        <v>Contact E-mail:</v>
      </c>
      <c r="M251" s="328" t="s">
        <v>350</v>
      </c>
      <c r="N251" s="286" t="s">
        <v>434</v>
      </c>
      <c r="O251" s="286" t="s">
        <v>501</v>
      </c>
      <c r="P251" s="286" t="s">
        <v>579</v>
      </c>
      <c r="Q251" s="286" t="s">
        <v>2455</v>
      </c>
      <c r="R251" s="487" t="s">
        <v>5007</v>
      </c>
      <c r="AA251" s="487" t="s">
        <v>4864</v>
      </c>
      <c r="AB251" s="331" t="s">
        <v>4463</v>
      </c>
      <c r="AH251"/>
      <c r="AI251"/>
    </row>
    <row r="252" spans="2:35">
      <c r="B252" s="335" t="str">
        <f t="shared" si="18"/>
        <v>Address of shop:</v>
      </c>
      <c r="M252" s="328" t="s">
        <v>348</v>
      </c>
      <c r="N252" s="286" t="s">
        <v>435</v>
      </c>
      <c r="O252" s="286" t="s">
        <v>502</v>
      </c>
      <c r="P252" s="286" t="s">
        <v>580</v>
      </c>
      <c r="Q252" s="286" t="s">
        <v>2456</v>
      </c>
      <c r="R252" s="487" t="s">
        <v>5008</v>
      </c>
      <c r="AA252" s="487" t="s">
        <v>4865</v>
      </c>
      <c r="AB252" s="331" t="s">
        <v>4464</v>
      </c>
      <c r="AH252"/>
      <c r="AI252"/>
    </row>
    <row r="253" spans="2:35">
      <c r="B253" s="335" t="str">
        <f t="shared" si="18"/>
        <v>ID No:</v>
      </c>
      <c r="M253" s="328" t="s">
        <v>346</v>
      </c>
      <c r="N253" s="286" t="s">
        <v>346</v>
      </c>
      <c r="O253" s="286" t="s">
        <v>503</v>
      </c>
      <c r="P253" s="286" t="s">
        <v>346</v>
      </c>
      <c r="Q253" s="286" t="s">
        <v>2328</v>
      </c>
      <c r="R253" s="487" t="s">
        <v>5009</v>
      </c>
      <c r="AA253" s="487" t="s">
        <v>4866</v>
      </c>
      <c r="AB253" s="331" t="s">
        <v>4465</v>
      </c>
      <c r="AH253"/>
      <c r="AI253"/>
    </row>
    <row r="254" spans="2:35">
      <c r="B254" s="335" t="str">
        <f t="shared" si="18"/>
        <v>Discount on frames</v>
      </c>
      <c r="M254" s="328" t="s">
        <v>351</v>
      </c>
      <c r="N254" s="286" t="s">
        <v>436</v>
      </c>
      <c r="O254" s="286" t="s">
        <v>504</v>
      </c>
      <c r="P254" s="286" t="s">
        <v>581</v>
      </c>
      <c r="Q254" s="286" t="s">
        <v>1717</v>
      </c>
      <c r="R254" s="487" t="s">
        <v>5010</v>
      </c>
      <c r="AA254" s="487" t="s">
        <v>4867</v>
      </c>
      <c r="AB254" s="331" t="s">
        <v>4466</v>
      </c>
      <c r="AH254"/>
      <c r="AI254"/>
    </row>
    <row r="255" spans="2:35">
      <c r="B255" s="335" t="str">
        <f t="shared" si="18"/>
        <v>Discount on fittings</v>
      </c>
      <c r="M255" s="328" t="s">
        <v>352</v>
      </c>
      <c r="N255" s="286" t="s">
        <v>437</v>
      </c>
      <c r="O255" s="286" t="s">
        <v>505</v>
      </c>
      <c r="P255" s="286" t="s">
        <v>582</v>
      </c>
      <c r="Q255" s="286" t="s">
        <v>1718</v>
      </c>
      <c r="R255" s="487" t="s">
        <v>5011</v>
      </c>
      <c r="AA255" s="487" t="s">
        <v>4868</v>
      </c>
      <c r="AB255" s="331" t="s">
        <v>4467</v>
      </c>
      <c r="AH255"/>
      <c r="AI255"/>
    </row>
    <row r="256" spans="2:35">
      <c r="B256" s="335" t="str">
        <f t="shared" si="18"/>
        <v>Order No.</v>
      </c>
      <c r="M256" s="328" t="s">
        <v>372</v>
      </c>
      <c r="N256" s="286" t="s">
        <v>372</v>
      </c>
      <c r="O256" s="286" t="s">
        <v>12</v>
      </c>
      <c r="P256" s="286" t="s">
        <v>583</v>
      </c>
      <c r="Q256" s="286" t="s">
        <v>2329</v>
      </c>
      <c r="R256" s="487" t="s">
        <v>5012</v>
      </c>
      <c r="AA256" s="487" t="s">
        <v>4869</v>
      </c>
      <c r="AB256" s="331" t="s">
        <v>4468</v>
      </c>
      <c r="AH256"/>
      <c r="AI256"/>
    </row>
    <row r="257" spans="2:35">
      <c r="B257" s="335" t="str">
        <f t="shared" si="18"/>
        <v>Color previews for individual RAL and REF names are indicative only!!!!</v>
      </c>
      <c r="M257" s="328" t="s">
        <v>371</v>
      </c>
      <c r="N257" s="286" t="s">
        <v>440</v>
      </c>
      <c r="O257" s="286" t="s">
        <v>1551</v>
      </c>
      <c r="P257" s="286" t="s">
        <v>2222</v>
      </c>
      <c r="Q257" s="286" t="s">
        <v>2330</v>
      </c>
      <c r="R257" s="487" t="s">
        <v>5013</v>
      </c>
      <c r="AA257" s="487" t="s">
        <v>4870</v>
      </c>
      <c r="AB257" s="331" t="s">
        <v>4469</v>
      </c>
      <c r="AH257"/>
      <c r="AI257"/>
    </row>
    <row r="258" spans="2:35">
      <c r="B258" s="335" t="str">
        <f t="shared" si="18"/>
        <v>Type of fittings</v>
      </c>
      <c r="M258" s="328" t="s">
        <v>73</v>
      </c>
      <c r="N258" s="286" t="s">
        <v>439</v>
      </c>
      <c r="O258" s="286" t="s">
        <v>513</v>
      </c>
      <c r="P258" s="286" t="s">
        <v>1547</v>
      </c>
      <c r="Q258" s="286" t="s">
        <v>2457</v>
      </c>
      <c r="R258" t="s">
        <v>5014</v>
      </c>
      <c r="AA258" s="487" t="s">
        <v>4871</v>
      </c>
      <c r="AB258" s="331" t="s">
        <v>4470</v>
      </c>
      <c r="AH258"/>
      <c r="AI258"/>
    </row>
    <row r="259" spans="2:35">
      <c r="B259" s="335" t="str">
        <f t="shared" si="18"/>
        <v>AVENTOS HF</v>
      </c>
      <c r="M259" s="328" t="s">
        <v>79</v>
      </c>
      <c r="N259" s="328" t="s">
        <v>79</v>
      </c>
      <c r="O259" s="286" t="s">
        <v>79</v>
      </c>
      <c r="P259" s="286" t="s">
        <v>79</v>
      </c>
      <c r="Q259" s="286" t="s">
        <v>79</v>
      </c>
      <c r="R259" s="488" t="s">
        <v>79</v>
      </c>
      <c r="AA259" s="487" t="s">
        <v>4872</v>
      </c>
      <c r="AB259" s="331" t="s">
        <v>4471</v>
      </c>
      <c r="AH259"/>
      <c r="AI259"/>
    </row>
    <row r="260" spans="2:35">
      <c r="B260" s="335" t="str">
        <f t="shared" si="18"/>
        <v>AVENTOS HK TOP</v>
      </c>
      <c r="M260" s="286" t="s">
        <v>1566</v>
      </c>
      <c r="N260" s="286" t="s">
        <v>1566</v>
      </c>
      <c r="O260" s="286" t="s">
        <v>1566</v>
      </c>
      <c r="P260" s="286" t="s">
        <v>1566</v>
      </c>
      <c r="Q260" s="286" t="s">
        <v>1566</v>
      </c>
      <c r="R260" s="489" t="s">
        <v>1566</v>
      </c>
      <c r="AA260" s="487" t="s">
        <v>4873</v>
      </c>
      <c r="AB260" s="362" t="s">
        <v>4472</v>
      </c>
      <c r="AH260"/>
      <c r="AI260"/>
    </row>
    <row r="261" spans="2:35">
      <c r="B261" s="335" t="str">
        <f t="shared" si="18"/>
        <v>AVENTOS HKS</v>
      </c>
      <c r="M261" s="286" t="s">
        <v>80</v>
      </c>
      <c r="N261" s="286" t="s">
        <v>80</v>
      </c>
      <c r="O261" s="286" t="s">
        <v>80</v>
      </c>
      <c r="P261" s="286" t="s">
        <v>2223</v>
      </c>
      <c r="Q261" s="286" t="s">
        <v>80</v>
      </c>
      <c r="R261" s="489" t="s">
        <v>80</v>
      </c>
      <c r="AA261" s="487" t="s">
        <v>4874</v>
      </c>
      <c r="AB261" s="331" t="s">
        <v>4473</v>
      </c>
      <c r="AH261"/>
      <c r="AI261"/>
    </row>
    <row r="262" spans="2:35">
      <c r="B262" s="335" t="str">
        <f t="shared" si="18"/>
        <v>AVENTOS HL</v>
      </c>
      <c r="M262" s="286" t="s">
        <v>81</v>
      </c>
      <c r="N262" s="286" t="s">
        <v>81</v>
      </c>
      <c r="O262" s="286" t="s">
        <v>81</v>
      </c>
      <c r="P262" s="286" t="s">
        <v>81</v>
      </c>
      <c r="Q262" s="286" t="s">
        <v>81</v>
      </c>
      <c r="R262" s="489" t="s">
        <v>81</v>
      </c>
      <c r="AA262" s="487" t="s">
        <v>4875</v>
      </c>
      <c r="AB262" s="331" t="s">
        <v>4474</v>
      </c>
      <c r="AH262"/>
      <c r="AI262"/>
    </row>
    <row r="263" spans="2:35">
      <c r="B263" s="335" t="str">
        <f t="shared" si="18"/>
        <v>AVENTOS HS</v>
      </c>
      <c r="M263" s="286" t="s">
        <v>82</v>
      </c>
      <c r="N263" s="286" t="s">
        <v>82</v>
      </c>
      <c r="O263" s="286" t="s">
        <v>82</v>
      </c>
      <c r="P263" s="286" t="s">
        <v>82</v>
      </c>
      <c r="Q263" s="286" t="s">
        <v>82</v>
      </c>
      <c r="R263" s="489" t="s">
        <v>82</v>
      </c>
      <c r="AA263" s="487" t="s">
        <v>4876</v>
      </c>
      <c r="AB263" s="331" t="s">
        <v>4475</v>
      </c>
      <c r="AH263"/>
      <c r="AI263"/>
    </row>
    <row r="264" spans="2:35">
      <c r="B264" s="335" t="str">
        <f t="shared" si="18"/>
        <v>AVENTOS HK-XS</v>
      </c>
      <c r="M264" s="286" t="s">
        <v>990</v>
      </c>
      <c r="N264" s="286" t="s">
        <v>990</v>
      </c>
      <c r="O264" s="286" t="s">
        <v>990</v>
      </c>
      <c r="P264" s="286" t="s">
        <v>990</v>
      </c>
      <c r="Q264" s="286" t="s">
        <v>990</v>
      </c>
      <c r="R264" s="489" t="s">
        <v>990</v>
      </c>
      <c r="AA264" s="487" t="s">
        <v>4877</v>
      </c>
      <c r="AB264" s="362" t="s">
        <v>4476</v>
      </c>
      <c r="AH264"/>
      <c r="AI264"/>
    </row>
    <row r="265" spans="2:35">
      <c r="B265" s="335" t="str">
        <f t="shared" si="18"/>
        <v>AVENTOS HK-XS TIP-ON</v>
      </c>
      <c r="M265" s="286" t="s">
        <v>1004</v>
      </c>
      <c r="N265" s="286" t="s">
        <v>1004</v>
      </c>
      <c r="O265" s="286" t="s">
        <v>1004</v>
      </c>
      <c r="P265" s="286" t="s">
        <v>1004</v>
      </c>
      <c r="Q265" s="286" t="s">
        <v>1004</v>
      </c>
      <c r="R265" s="489" t="s">
        <v>1004</v>
      </c>
      <c r="AA265" s="487" t="s">
        <v>4878</v>
      </c>
      <c r="AB265" s="362" t="s">
        <v>4514</v>
      </c>
      <c r="AH265"/>
      <c r="AI265"/>
    </row>
    <row r="266" spans="2:35">
      <c r="B266" s="335" t="str">
        <f t="shared" si="18"/>
        <v>FGV</v>
      </c>
      <c r="M266" s="286" t="s">
        <v>1</v>
      </c>
      <c r="N266" s="286" t="s">
        <v>1</v>
      </c>
      <c r="O266" s="286" t="s">
        <v>1</v>
      </c>
      <c r="P266" s="286" t="s">
        <v>1</v>
      </c>
      <c r="Q266" s="286" t="s">
        <v>1</v>
      </c>
      <c r="R266" s="489" t="s">
        <v>1</v>
      </c>
      <c r="AA266" s="487" t="s">
        <v>4879</v>
      </c>
      <c r="AB266" s="331" t="s">
        <v>4477</v>
      </c>
    </row>
    <row r="267" spans="2:35">
      <c r="B267" s="335" t="str">
        <f t="shared" si="18"/>
        <v>BLUM</v>
      </c>
      <c r="M267" s="286" t="s">
        <v>2</v>
      </c>
      <c r="N267" s="286" t="s">
        <v>2</v>
      </c>
      <c r="O267" s="286" t="s">
        <v>2</v>
      </c>
      <c r="P267" s="286" t="s">
        <v>2</v>
      </c>
      <c r="Q267" s="286" t="s">
        <v>2</v>
      </c>
      <c r="R267" s="489" t="s">
        <v>2</v>
      </c>
      <c r="AA267" s="487" t="s">
        <v>4880</v>
      </c>
      <c r="AB267" s="331" t="s">
        <v>4478</v>
      </c>
    </row>
    <row r="268" spans="2:35">
      <c r="B268" s="335" t="str">
        <f t="shared" si="18"/>
        <v>STRONG without soft-closing</v>
      </c>
      <c r="M268" s="286" t="s">
        <v>1108</v>
      </c>
      <c r="N268" s="286" t="s">
        <v>1453</v>
      </c>
      <c r="O268" s="286" t="s">
        <v>1454</v>
      </c>
      <c r="P268" s="286" t="s">
        <v>1455</v>
      </c>
      <c r="Q268" s="286" t="s">
        <v>2458</v>
      </c>
      <c r="R268" s="487" t="s">
        <v>5015</v>
      </c>
      <c r="AA268" s="487" t="s">
        <v>4881</v>
      </c>
      <c r="AB268" s="362" t="s">
        <v>4479</v>
      </c>
    </row>
    <row r="269" spans="2:35">
      <c r="B269" s="335" t="str">
        <f t="shared" si="18"/>
        <v>HETTICH</v>
      </c>
      <c r="M269" s="286" t="s">
        <v>989</v>
      </c>
      <c r="N269" s="286" t="s">
        <v>989</v>
      </c>
      <c r="O269" s="286" t="s">
        <v>989</v>
      </c>
      <c r="P269" s="286" t="s">
        <v>989</v>
      </c>
      <c r="Q269" s="286" t="s">
        <v>989</v>
      </c>
      <c r="R269" s="489" t="s">
        <v>989</v>
      </c>
      <c r="AA269" s="487" t="s">
        <v>4882</v>
      </c>
      <c r="AB269" s="362" t="s">
        <v>4480</v>
      </c>
    </row>
    <row r="270" spans="2:35">
      <c r="B270" s="335" t="str">
        <f t="shared" si="18"/>
        <v>Fill in only if drilling is not symmetrical</v>
      </c>
      <c r="M270" s="328" t="s">
        <v>512</v>
      </c>
      <c r="N270" s="286" t="s">
        <v>603</v>
      </c>
      <c r="O270" s="286" t="s">
        <v>608</v>
      </c>
      <c r="P270" s="286" t="s">
        <v>615</v>
      </c>
      <c r="Q270" s="286" t="s">
        <v>2451</v>
      </c>
      <c r="R270" s="487" t="s">
        <v>5001</v>
      </c>
      <c r="AA270" s="487" t="s">
        <v>4883</v>
      </c>
      <c r="AB270" s="362" t="s">
        <v>4481</v>
      </c>
    </row>
    <row r="271" spans="2:35">
      <c r="B271" s="335" t="str">
        <f t="shared" si="18"/>
        <v>Sliding frames</v>
      </c>
      <c r="M271" s="328" t="s">
        <v>7</v>
      </c>
      <c r="N271" s="286" t="s">
        <v>604</v>
      </c>
      <c r="O271" s="286" t="s">
        <v>863</v>
      </c>
      <c r="P271" s="286" t="s">
        <v>864</v>
      </c>
      <c r="Q271" s="286" t="s">
        <v>1723</v>
      </c>
      <c r="R271" s="487" t="s">
        <v>5016</v>
      </c>
      <c r="AA271" s="487" t="s">
        <v>4884</v>
      </c>
      <c r="AB271" s="362" t="s">
        <v>4482</v>
      </c>
    </row>
    <row r="272" spans="2:35">
      <c r="B272" s="335" t="str">
        <f t="shared" si="18"/>
        <v>Default order is delivered including fittings and guiding profiles</v>
      </c>
      <c r="M272" s="328" t="s">
        <v>375</v>
      </c>
      <c r="N272" s="286" t="s">
        <v>597</v>
      </c>
      <c r="O272" s="286" t="s">
        <v>641</v>
      </c>
      <c r="P272" s="286" t="s">
        <v>2224</v>
      </c>
      <c r="Q272" s="286" t="s">
        <v>2459</v>
      </c>
      <c r="R272" s="487" t="s">
        <v>5017</v>
      </c>
      <c r="AA272" s="487" t="s">
        <v>4885</v>
      </c>
      <c r="AB272" s="362" t="s">
        <v>4434</v>
      </c>
    </row>
    <row r="273" spans="2:28">
      <c r="B273" s="335" t="str">
        <f t="shared" si="18"/>
        <v>Internal cabinet size (mm)</v>
      </c>
      <c r="M273" s="328" t="s">
        <v>600</v>
      </c>
      <c r="N273" s="286" t="s">
        <v>598</v>
      </c>
      <c r="O273" s="286" t="s">
        <v>610</v>
      </c>
      <c r="P273" s="286" t="s">
        <v>618</v>
      </c>
      <c r="Q273" s="286" t="s">
        <v>2331</v>
      </c>
      <c r="R273" s="487" t="s">
        <v>5018</v>
      </c>
      <c r="AA273" s="487" t="s">
        <v>4886</v>
      </c>
      <c r="AB273" s="362" t="s">
        <v>4518</v>
      </c>
    </row>
    <row r="274" spans="2:28">
      <c r="B274" s="335" t="str">
        <f t="shared" si="18"/>
        <v>Number of doors</v>
      </c>
      <c r="M274" s="328" t="s">
        <v>374</v>
      </c>
      <c r="N274" s="286" t="s">
        <v>599</v>
      </c>
      <c r="O274" s="286" t="s">
        <v>2273</v>
      </c>
      <c r="P274" s="286" t="s">
        <v>619</v>
      </c>
      <c r="Q274" s="286" t="s">
        <v>1726</v>
      </c>
      <c r="R274" s="487" t="s">
        <v>5019</v>
      </c>
      <c r="AA274" s="487" t="s">
        <v>4887</v>
      </c>
      <c r="AB274" s="362" t="s">
        <v>4522</v>
      </c>
    </row>
    <row r="275" spans="2:28">
      <c r="B275" s="335" t="str">
        <f t="shared" si="18"/>
        <v>The standard door overlaps are shown here</v>
      </c>
      <c r="M275" s="328" t="s">
        <v>807</v>
      </c>
      <c r="N275" s="308" t="s">
        <v>601</v>
      </c>
      <c r="O275" s="286" t="s">
        <v>808</v>
      </c>
      <c r="P275" s="286" t="s">
        <v>2225</v>
      </c>
      <c r="Q275" s="286" t="s">
        <v>2332</v>
      </c>
      <c r="R275" s="487" t="s">
        <v>5020</v>
      </c>
      <c r="AA275" s="487" t="s">
        <v>4888</v>
      </c>
      <c r="AB275" s="338" t="s">
        <v>4435</v>
      </c>
    </row>
    <row r="276" spans="2:28">
      <c r="B276" s="335" t="str">
        <f t="shared" si="18"/>
        <v>color</v>
      </c>
      <c r="M276" s="328" t="s">
        <v>353</v>
      </c>
      <c r="N276" s="286" t="s">
        <v>602</v>
      </c>
      <c r="O276" s="286" t="s">
        <v>612</v>
      </c>
      <c r="P276" s="286" t="s">
        <v>620</v>
      </c>
      <c r="Q276" s="286" t="s">
        <v>2333</v>
      </c>
      <c r="R276" s="487" t="s">
        <v>5021</v>
      </c>
      <c r="AA276" s="487" t="s">
        <v>4889</v>
      </c>
      <c r="AB276" s="338" t="s">
        <v>4436</v>
      </c>
    </row>
    <row r="277" spans="2:28">
      <c r="B277" s="335" t="str">
        <f t="shared" si="18"/>
        <v>ALU Order</v>
      </c>
      <c r="M277" s="328" t="s">
        <v>595</v>
      </c>
      <c r="N277" s="286" t="s">
        <v>595</v>
      </c>
      <c r="O277" s="286" t="s">
        <v>613</v>
      </c>
      <c r="P277" s="286" t="s">
        <v>621</v>
      </c>
      <c r="Q277" s="286" t="s">
        <v>2334</v>
      </c>
      <c r="R277" s="487" t="s">
        <v>5022</v>
      </c>
      <c r="AA277" s="487" t="s">
        <v>4890</v>
      </c>
      <c r="AB277" s="338" t="s">
        <v>4437</v>
      </c>
    </row>
    <row r="278" spans="2:28">
      <c r="B278" s="335" t="str">
        <f t="shared" si="18"/>
        <v>Sliding frames</v>
      </c>
      <c r="M278" s="328" t="s">
        <v>7</v>
      </c>
      <c r="N278" s="286" t="s">
        <v>604</v>
      </c>
      <c r="O278" s="286" t="s">
        <v>863</v>
      </c>
      <c r="P278" s="286" t="s">
        <v>864</v>
      </c>
      <c r="Q278" s="286" t="s">
        <v>1723</v>
      </c>
      <c r="R278" s="487" t="s">
        <v>5016</v>
      </c>
      <c r="AA278" s="487" t="s">
        <v>4891</v>
      </c>
      <c r="AB278" s="338" t="s">
        <v>4438</v>
      </c>
    </row>
    <row r="279" spans="2:28">
      <c r="B279" s="335" t="str">
        <f t="shared" si="18"/>
        <v>LACOBEL and Matelac colors</v>
      </c>
      <c r="M279" s="328" t="s">
        <v>596</v>
      </c>
      <c r="N279" s="286" t="s">
        <v>605</v>
      </c>
      <c r="O279" s="286" t="s">
        <v>614</v>
      </c>
      <c r="P279" s="286" t="s">
        <v>622</v>
      </c>
      <c r="Q279" s="286" t="s">
        <v>2460</v>
      </c>
      <c r="R279" s="487" t="s">
        <v>5023</v>
      </c>
      <c r="AA279" s="487" t="s">
        <v>4892</v>
      </c>
      <c r="AB279" s="338" t="s">
        <v>4439</v>
      </c>
    </row>
    <row r="280" spans="2:28">
      <c r="B280" s="335" t="str">
        <f t="shared" si="18"/>
        <v>20L3200</v>
      </c>
      <c r="M280" s="354" t="s">
        <v>624</v>
      </c>
      <c r="N280" s="354" t="s">
        <v>624</v>
      </c>
      <c r="O280" s="286" t="s">
        <v>624</v>
      </c>
      <c r="P280" s="286" t="s">
        <v>624</v>
      </c>
      <c r="Q280" s="286" t="s">
        <v>624</v>
      </c>
      <c r="R280" s="490" t="s">
        <v>624</v>
      </c>
      <c r="AA280" s="487" t="s">
        <v>4893</v>
      </c>
      <c r="AB280" s="338" t="s">
        <v>4440</v>
      </c>
    </row>
    <row r="281" spans="2:28">
      <c r="B281" s="335" t="str">
        <f t="shared" si="18"/>
        <v>20L3500</v>
      </c>
      <c r="M281" s="354" t="s">
        <v>625</v>
      </c>
      <c r="N281" s="354" t="s">
        <v>625</v>
      </c>
      <c r="O281" s="286" t="s">
        <v>625</v>
      </c>
      <c r="P281" s="286" t="s">
        <v>625</v>
      </c>
      <c r="Q281" s="286" t="s">
        <v>625</v>
      </c>
      <c r="R281" s="490" t="s">
        <v>625</v>
      </c>
      <c r="AA281" s="487" t="s">
        <v>4897</v>
      </c>
      <c r="AB281" s="338" t="s">
        <v>3429</v>
      </c>
    </row>
    <row r="282" spans="2:28">
      <c r="B282" s="335" t="str">
        <f t="shared" si="18"/>
        <v>20L3800</v>
      </c>
      <c r="M282" s="354" t="s">
        <v>626</v>
      </c>
      <c r="N282" s="354" t="s">
        <v>626</v>
      </c>
      <c r="O282" s="286" t="s">
        <v>626</v>
      </c>
      <c r="P282" s="286" t="s">
        <v>626</v>
      </c>
      <c r="Q282" s="286" t="s">
        <v>626</v>
      </c>
      <c r="R282" s="490" t="s">
        <v>626</v>
      </c>
      <c r="AA282" s="487" t="s">
        <v>4898</v>
      </c>
      <c r="AB282" s="338" t="s">
        <v>2201</v>
      </c>
    </row>
    <row r="283" spans="2:28">
      <c r="B283" s="335" t="str">
        <f t="shared" si="18"/>
        <v>20L3900</v>
      </c>
      <c r="M283" s="354" t="s">
        <v>627</v>
      </c>
      <c r="N283" s="354" t="s">
        <v>627</v>
      </c>
      <c r="O283" s="286" t="s">
        <v>627</v>
      </c>
      <c r="P283" s="286" t="s">
        <v>627</v>
      </c>
      <c r="Q283" s="286" t="s">
        <v>627</v>
      </c>
      <c r="R283" s="490" t="s">
        <v>627</v>
      </c>
    </row>
    <row r="284" spans="2:28">
      <c r="B284" s="335" t="str">
        <f t="shared" si="18"/>
        <v>Type of arm</v>
      </c>
      <c r="M284" s="354" t="s">
        <v>628</v>
      </c>
      <c r="N284" s="354" t="s">
        <v>631</v>
      </c>
      <c r="O284" s="286" t="s">
        <v>632</v>
      </c>
      <c r="P284" s="286" t="s">
        <v>633</v>
      </c>
      <c r="Q284" s="286" t="s">
        <v>2461</v>
      </c>
      <c r="R284" s="487" t="s">
        <v>5024</v>
      </c>
    </row>
    <row r="285" spans="2:28">
      <c r="B285" s="335" t="str">
        <f t="shared" si="18"/>
        <v>Handle weight (g)</v>
      </c>
      <c r="M285" s="354" t="s">
        <v>629</v>
      </c>
      <c r="N285" s="354" t="s">
        <v>634</v>
      </c>
      <c r="O285" s="286" t="s">
        <v>635</v>
      </c>
      <c r="P285" s="286" t="s">
        <v>636</v>
      </c>
      <c r="Q285" s="286" t="s">
        <v>1732</v>
      </c>
      <c r="R285" s="487" t="s">
        <v>5025</v>
      </c>
    </row>
    <row r="286" spans="2:28">
      <c r="B286" s="335" t="str">
        <f t="shared" si="18"/>
        <v>Types of profile</v>
      </c>
      <c r="M286" s="354" t="s">
        <v>630</v>
      </c>
      <c r="N286" s="286" t="s">
        <v>637</v>
      </c>
      <c r="O286" s="286" t="s">
        <v>638</v>
      </c>
      <c r="P286" s="286" t="s">
        <v>639</v>
      </c>
      <c r="Q286" s="286" t="s">
        <v>2462</v>
      </c>
      <c r="R286" s="487" t="s">
        <v>5026</v>
      </c>
    </row>
    <row r="287" spans="2:28">
      <c r="B287" s="335" t="str">
        <f t="shared" si="18"/>
        <v>AVENTOS HF Servo Drive</v>
      </c>
      <c r="M287" s="328" t="s">
        <v>707</v>
      </c>
      <c r="N287" s="328" t="s">
        <v>707</v>
      </c>
      <c r="O287" s="286" t="s">
        <v>707</v>
      </c>
      <c r="P287" s="286" t="s">
        <v>707</v>
      </c>
      <c r="Q287" s="286" t="s">
        <v>707</v>
      </c>
      <c r="R287" s="488" t="s">
        <v>707</v>
      </c>
    </row>
    <row r="288" spans="2:28">
      <c r="B288" s="335" t="str">
        <f t="shared" si="18"/>
        <v>AVENTOS HK TOP TIP ON</v>
      </c>
      <c r="M288" s="328" t="s">
        <v>1568</v>
      </c>
      <c r="N288" s="328" t="s">
        <v>1568</v>
      </c>
      <c r="O288" s="286" t="s">
        <v>1568</v>
      </c>
      <c r="P288" s="286" t="s">
        <v>1568</v>
      </c>
      <c r="Q288" s="286" t="s">
        <v>1568</v>
      </c>
      <c r="R288" s="488" t="s">
        <v>1568</v>
      </c>
    </row>
    <row r="289" spans="2:28">
      <c r="B289" s="335" t="str">
        <f t="shared" si="18"/>
        <v>AVENTOS HKS TIP ON</v>
      </c>
      <c r="M289" s="328" t="s">
        <v>708</v>
      </c>
      <c r="N289" s="328" t="s">
        <v>708</v>
      </c>
      <c r="O289" s="286" t="s">
        <v>708</v>
      </c>
      <c r="P289" s="286" t="s">
        <v>2226</v>
      </c>
      <c r="Q289" s="286" t="s">
        <v>708</v>
      </c>
      <c r="R289" s="488" t="s">
        <v>708</v>
      </c>
    </row>
    <row r="290" spans="2:28">
      <c r="B290" s="335" t="str">
        <f t="shared" si="18"/>
        <v>AVENTOS HK TOP Servo Drive</v>
      </c>
      <c r="M290" s="328" t="s">
        <v>1567</v>
      </c>
      <c r="N290" s="328" t="s">
        <v>1567</v>
      </c>
      <c r="O290" s="286" t="s">
        <v>1567</v>
      </c>
      <c r="P290" s="286" t="s">
        <v>1567</v>
      </c>
      <c r="Q290" s="286" t="s">
        <v>1567</v>
      </c>
      <c r="R290" s="488" t="s">
        <v>1567</v>
      </c>
    </row>
    <row r="291" spans="2:28">
      <c r="B291" s="335" t="str">
        <f t="shared" si="18"/>
        <v>AVENTOS HL Servo Drive</v>
      </c>
      <c r="M291" s="328" t="s">
        <v>709</v>
      </c>
      <c r="N291" s="328" t="s">
        <v>709</v>
      </c>
      <c r="O291" s="286" t="s">
        <v>709</v>
      </c>
      <c r="P291" s="286" t="s">
        <v>709</v>
      </c>
      <c r="Q291" s="286" t="s">
        <v>709</v>
      </c>
      <c r="R291" s="488" t="s">
        <v>709</v>
      </c>
    </row>
    <row r="292" spans="2:28">
      <c r="B292" s="335" t="str">
        <f t="shared" si="18"/>
        <v>AVENTOS HS Servo Drive</v>
      </c>
      <c r="M292" s="328" t="s">
        <v>710</v>
      </c>
      <c r="N292" s="328" t="s">
        <v>710</v>
      </c>
      <c r="O292" s="286" t="s">
        <v>710</v>
      </c>
      <c r="P292" s="286" t="s">
        <v>710</v>
      </c>
      <c r="Q292" s="286" t="s">
        <v>710</v>
      </c>
      <c r="R292" s="488" t="s">
        <v>710</v>
      </c>
    </row>
    <row r="293" spans="2:28">
      <c r="B293" s="335" t="str">
        <f t="shared" si="18"/>
        <v>bottom</v>
      </c>
      <c r="M293" s="328" t="s">
        <v>713</v>
      </c>
      <c r="N293" s="286" t="s">
        <v>765</v>
      </c>
      <c r="O293" s="286" t="s">
        <v>766</v>
      </c>
      <c r="P293" s="286" t="s">
        <v>767</v>
      </c>
      <c r="Q293" s="286" t="s">
        <v>2335</v>
      </c>
      <c r="R293" s="487" t="s">
        <v>5027</v>
      </c>
    </row>
    <row r="294" spans="2:28">
      <c r="B294" s="335" t="str">
        <f t="shared" si="18"/>
        <v>Minimum distance of hinge</v>
      </c>
      <c r="M294" s="354" t="s">
        <v>769</v>
      </c>
      <c r="N294" s="286" t="s">
        <v>820</v>
      </c>
      <c r="O294" s="286" t="s">
        <v>835</v>
      </c>
      <c r="P294" s="286" t="s">
        <v>836</v>
      </c>
      <c r="Q294" s="286" t="s">
        <v>2463</v>
      </c>
      <c r="R294" s="487" t="s">
        <v>5028</v>
      </c>
    </row>
    <row r="295" spans="2:28">
      <c r="B295" s="335" t="str">
        <f t="shared" si="18"/>
        <v>Overlay with integrated Bluemotion</v>
      </c>
      <c r="M295" s="328" t="s">
        <v>771</v>
      </c>
      <c r="N295" s="286" t="s">
        <v>821</v>
      </c>
      <c r="O295" s="286" t="s">
        <v>2274</v>
      </c>
      <c r="P295" s="286" t="s">
        <v>838</v>
      </c>
      <c r="Q295" s="286" t="s">
        <v>2464</v>
      </c>
      <c r="R295" s="487" t="s">
        <v>5029</v>
      </c>
    </row>
    <row r="296" spans="2:28">
      <c r="B296" s="335" t="str">
        <f t="shared" si="18"/>
        <v>The standard drilling of hinge holes for all types of Aventos HF fittings, is 100 mm from the edge.</v>
      </c>
      <c r="M296" s="352" t="s">
        <v>813</v>
      </c>
      <c r="N296" s="286" t="s">
        <v>822</v>
      </c>
      <c r="O296" s="286" t="s">
        <v>1552</v>
      </c>
      <c r="P296" s="286" t="s">
        <v>2227</v>
      </c>
      <c r="Q296" s="286" t="s">
        <v>2336</v>
      </c>
      <c r="R296" s="487" t="s">
        <v>5030</v>
      </c>
    </row>
    <row r="297" spans="2:28">
      <c r="B297" s="335" t="str">
        <f t="shared" si="18"/>
        <v>The standard diameter of the mounting holes is 7 mm in the glass and 5 mm in the frame (distance pads are included).</v>
      </c>
      <c r="M297" s="328" t="s">
        <v>775</v>
      </c>
      <c r="N297" s="286" t="s">
        <v>823</v>
      </c>
      <c r="O297" s="286" t="s">
        <v>840</v>
      </c>
      <c r="P297" s="286" t="s">
        <v>841</v>
      </c>
      <c r="Q297" s="286" t="s">
        <v>2337</v>
      </c>
      <c r="R297" s="487" t="s">
        <v>5031</v>
      </c>
    </row>
    <row r="298" spans="2:28">
      <c r="B298" s="335" t="str">
        <f t="shared" ref="B298:B361" si="19">IF($D$1=1,M298,IF($D$1=2,N298,IF($D$1=3,O298,IF($D$1=4,P298,IF($D$1=5,Q298,IF($D$1=6,R298,0))))))</f>
        <v>If your request is different from the one above, please note it.</v>
      </c>
      <c r="M298" s="328" t="s">
        <v>776</v>
      </c>
      <c r="N298" s="286" t="s">
        <v>824</v>
      </c>
      <c r="O298" s="286" t="s">
        <v>842</v>
      </c>
      <c r="P298" s="286" t="s">
        <v>843</v>
      </c>
      <c r="Q298" s="286" t="s">
        <v>2338</v>
      </c>
      <c r="R298" s="487" t="s">
        <v>5032</v>
      </c>
    </row>
    <row r="299" spans="2:28">
      <c r="B299" s="335" t="str">
        <f t="shared" si="19"/>
        <v>Some types of handles threads for the bolts are embedded and suitable spacer pads must be used.</v>
      </c>
      <c r="M299" s="328" t="s">
        <v>780</v>
      </c>
      <c r="N299" s="286" t="s">
        <v>825</v>
      </c>
      <c r="O299" s="286" t="s">
        <v>2275</v>
      </c>
      <c r="P299" s="286" t="s">
        <v>1546</v>
      </c>
      <c r="Q299" s="286" t="s">
        <v>2465</v>
      </c>
      <c r="R299" s="487" t="s">
        <v>5033</v>
      </c>
    </row>
    <row r="300" spans="2:28">
      <c r="B300" s="335" t="str">
        <f t="shared" si="19"/>
        <v>Claims for damage cannot be accepted if the frame has already been fitted.</v>
      </c>
      <c r="M300" s="328" t="s">
        <v>777</v>
      </c>
      <c r="N300" s="286" t="s">
        <v>826</v>
      </c>
      <c r="O300" s="286" t="s">
        <v>4628</v>
      </c>
      <c r="P300" s="286" t="s">
        <v>845</v>
      </c>
      <c r="Q300" s="286" t="s">
        <v>2466</v>
      </c>
      <c r="R300" s="487" t="s">
        <v>5034</v>
      </c>
    </row>
    <row r="301" spans="2:28">
      <c r="B301" s="335" t="str">
        <f t="shared" si="19"/>
        <v>To attach the fitting to the ALU frame, designated screws should be used (e.g. code 13681).</v>
      </c>
      <c r="M301" s="328" t="s">
        <v>778</v>
      </c>
      <c r="N301" s="286" t="s">
        <v>827</v>
      </c>
      <c r="O301" s="286" t="s">
        <v>1554</v>
      </c>
      <c r="P301" s="286" t="s">
        <v>846</v>
      </c>
      <c r="Q301" s="286" t="s">
        <v>2467</v>
      </c>
      <c r="R301" s="487" t="s">
        <v>5035</v>
      </c>
    </row>
    <row r="302" spans="2:28">
      <c r="B302" s="335" t="str">
        <f t="shared" si="19"/>
        <v>Always use the current version of the form available on our web pages.</v>
      </c>
      <c r="M302" s="328" t="s">
        <v>3683</v>
      </c>
      <c r="N302" s="286" t="s">
        <v>828</v>
      </c>
      <c r="O302" s="286" t="s">
        <v>4623</v>
      </c>
      <c r="P302" s="286" t="s">
        <v>2228</v>
      </c>
      <c r="Q302" s="286" t="s">
        <v>2468</v>
      </c>
      <c r="R302" s="487" t="s">
        <v>5036</v>
      </c>
    </row>
    <row r="303" spans="2:28">
      <c r="B303" s="335" t="str">
        <f t="shared" si="19"/>
        <v>The gap between the dividers should be at least 100 mm.</v>
      </c>
      <c r="M303" s="328" t="s">
        <v>2168</v>
      </c>
      <c r="N303" s="286" t="s">
        <v>2170</v>
      </c>
      <c r="O303" s="286" t="s">
        <v>2276</v>
      </c>
      <c r="P303" s="286" t="s">
        <v>2169</v>
      </c>
      <c r="Q303" s="286" t="s">
        <v>2469</v>
      </c>
      <c r="R303" s="487" t="s">
        <v>5037</v>
      </c>
      <c r="AA303" s="487"/>
      <c r="AB303" s="338"/>
    </row>
    <row r="304" spans="2:28">
      <c r="B304" s="335" t="str">
        <f t="shared" si="19"/>
        <v>An order can also contain multiple types (sizes) of frames at the same time, therefore please make sure that some columns do not content data form previous order.</v>
      </c>
      <c r="M304" s="328" t="s">
        <v>779</v>
      </c>
      <c r="N304" s="286" t="s">
        <v>849</v>
      </c>
      <c r="O304" s="286" t="s">
        <v>1555</v>
      </c>
      <c r="P304" s="286" t="s">
        <v>850</v>
      </c>
      <c r="Q304" s="286" t="s">
        <v>2470</v>
      </c>
      <c r="R304" s="487" t="s">
        <v>5038</v>
      </c>
    </row>
    <row r="305" spans="2:28">
      <c r="B305" s="335" t="str">
        <f t="shared" si="19"/>
        <v>The form contains several pages. You can switch between the pages with the buttons on the top.</v>
      </c>
      <c r="M305" s="328" t="s">
        <v>781</v>
      </c>
      <c r="N305" s="286" t="s">
        <v>851</v>
      </c>
      <c r="O305" s="286" t="s">
        <v>852</v>
      </c>
      <c r="P305" s="286" t="s">
        <v>853</v>
      </c>
      <c r="Q305" s="286" t="s">
        <v>2471</v>
      </c>
      <c r="R305" s="487" t="s">
        <v>5039</v>
      </c>
    </row>
    <row r="306" spans="2:28">
      <c r="B306" s="335" t="str">
        <f t="shared" si="19"/>
        <v>Please fill in your contact details and then click on the required box below.</v>
      </c>
      <c r="M306" s="328" t="s">
        <v>925</v>
      </c>
      <c r="N306" s="286" t="s">
        <v>854</v>
      </c>
      <c r="O306" s="286" t="s">
        <v>855</v>
      </c>
      <c r="P306" s="286" t="s">
        <v>856</v>
      </c>
      <c r="Q306" s="286" t="s">
        <v>2339</v>
      </c>
      <c r="R306" s="487" t="s">
        <v>5040</v>
      </c>
      <c r="AA306" s="487"/>
      <c r="AB306" s="338"/>
    </row>
    <row r="307" spans="2:28">
      <c r="B307" s="335" t="str">
        <f t="shared" si="19"/>
        <v>By filling in your contact details, you are simultaneously agreeing to have read the informattion below!</v>
      </c>
      <c r="M307" s="328" t="s">
        <v>811</v>
      </c>
      <c r="N307" s="286" t="s">
        <v>857</v>
      </c>
      <c r="O307" s="286" t="s">
        <v>858</v>
      </c>
      <c r="P307" s="286" t="s">
        <v>859</v>
      </c>
      <c r="Q307" s="286" t="s">
        <v>2472</v>
      </c>
      <c r="R307" s="487" t="s">
        <v>5041</v>
      </c>
    </row>
    <row r="308" spans="2:28">
      <c r="B308" s="335" t="str">
        <f t="shared" si="19"/>
        <v>Common frames</v>
      </c>
      <c r="M308" s="328" t="s">
        <v>782</v>
      </c>
      <c r="N308" s="286" t="s">
        <v>860</v>
      </c>
      <c r="O308" s="286" t="s">
        <v>861</v>
      </c>
      <c r="P308" s="286" t="s">
        <v>862</v>
      </c>
      <c r="Q308" s="286" t="s">
        <v>2374</v>
      </c>
      <c r="R308" s="487" t="s">
        <v>5042</v>
      </c>
    </row>
    <row r="309" spans="2:28">
      <c r="B309" s="335" t="str">
        <f t="shared" si="19"/>
        <v>Sliding frames</v>
      </c>
      <c r="M309" s="328" t="s">
        <v>7</v>
      </c>
      <c r="N309" s="286" t="s">
        <v>604</v>
      </c>
      <c r="O309" s="286" t="s">
        <v>863</v>
      </c>
      <c r="P309" s="286" t="s">
        <v>864</v>
      </c>
      <c r="Q309" s="286" t="s">
        <v>1723</v>
      </c>
      <c r="R309" s="487" t="s">
        <v>5016</v>
      </c>
    </row>
    <row r="310" spans="2:28">
      <c r="B310" s="335" t="str">
        <f t="shared" si="19"/>
        <v>Drawings of profiles and connection fittings</v>
      </c>
      <c r="M310" s="328" t="s">
        <v>783</v>
      </c>
      <c r="N310" s="286" t="s">
        <v>3587</v>
      </c>
      <c r="O310" s="286" t="s">
        <v>866</v>
      </c>
      <c r="P310" s="286" t="s">
        <v>867</v>
      </c>
      <c r="Q310" s="286" t="s">
        <v>2473</v>
      </c>
      <c r="R310" s="487" t="s">
        <v>5043</v>
      </c>
      <c r="AB310" s="338"/>
    </row>
    <row r="311" spans="2:28">
      <c r="B311" s="335" t="str">
        <f t="shared" si="19"/>
        <v>The maximum recommended frame size is 2500 x 1250 mm (1500 x 600 mm in the case of glued glass frames, e.g. Corleone)</v>
      </c>
      <c r="M311" s="328" t="s">
        <v>4181</v>
      </c>
      <c r="N311" s="286" t="s">
        <v>4182</v>
      </c>
      <c r="O311" s="286" t="s">
        <v>4183</v>
      </c>
      <c r="P311" s="286" t="s">
        <v>4184</v>
      </c>
      <c r="Q311" s="286" t="s">
        <v>4185</v>
      </c>
      <c r="R311" s="487" t="s">
        <v>5044</v>
      </c>
      <c r="AB311" s="338"/>
    </row>
    <row r="312" spans="2:28">
      <c r="B312" s="335" t="str">
        <f t="shared" si="19"/>
        <v>At the customer's request, frames with a maximum profile length of 3m can be supplied. The maximum glass dimension in this case is 2500 x 1300 mm.</v>
      </c>
      <c r="M312" s="328" t="s">
        <v>926</v>
      </c>
      <c r="N312" s="286" t="s">
        <v>870</v>
      </c>
      <c r="O312" s="286" t="s">
        <v>2277</v>
      </c>
      <c r="P312" s="286" t="s">
        <v>872</v>
      </c>
      <c r="Q312" s="286" t="s">
        <v>2340</v>
      </c>
      <c r="R312" s="487" t="s">
        <v>5045</v>
      </c>
    </row>
    <row r="313" spans="2:28">
      <c r="B313" s="335" t="str">
        <f t="shared" si="19"/>
        <v>All Lacobel and Matelac glasses can be floored with safety foil (add to note if necessary)</v>
      </c>
      <c r="M313" s="328" t="s">
        <v>786</v>
      </c>
      <c r="N313" s="286" t="s">
        <v>873</v>
      </c>
      <c r="O313" s="286" t="s">
        <v>2278</v>
      </c>
      <c r="P313" s="286" t="s">
        <v>2229</v>
      </c>
      <c r="Q313" s="286" t="s">
        <v>2341</v>
      </c>
      <c r="R313" s="487" t="s">
        <v>5046</v>
      </c>
    </row>
    <row r="314" spans="2:28">
      <c r="B314" s="335" t="str">
        <f t="shared" si="19"/>
        <v>Send your filled order to</v>
      </c>
      <c r="M314" s="328" t="s">
        <v>787</v>
      </c>
      <c r="N314" s="286" t="s">
        <v>875</v>
      </c>
      <c r="O314" s="286" t="s">
        <v>4627</v>
      </c>
      <c r="P314" s="286" t="s">
        <v>877</v>
      </c>
      <c r="Q314" s="286" t="s">
        <v>2342</v>
      </c>
      <c r="R314" s="487" t="s">
        <v>5047</v>
      </c>
    </row>
    <row r="315" spans="2:28">
      <c r="B315" s="335" t="str">
        <f t="shared" si="19"/>
        <v>ordering@demos-trade.com</v>
      </c>
      <c r="M315" s="355" t="s">
        <v>790</v>
      </c>
      <c r="N315" s="286" t="s">
        <v>4238</v>
      </c>
      <c r="O315" s="286" t="s">
        <v>788</v>
      </c>
      <c r="P315" s="286" t="s">
        <v>789</v>
      </c>
      <c r="Q315" s="286" t="s">
        <v>2343</v>
      </c>
      <c r="R315" s="286" t="s">
        <v>1753</v>
      </c>
    </row>
    <row r="316" spans="2:28">
      <c r="B316" s="335" t="str">
        <f t="shared" si="19"/>
        <v>Profile drawings</v>
      </c>
      <c r="M316" s="328" t="s">
        <v>791</v>
      </c>
      <c r="N316" s="286" t="s">
        <v>878</v>
      </c>
      <c r="O316" s="286" t="s">
        <v>879</v>
      </c>
      <c r="P316" s="286" t="s">
        <v>880</v>
      </c>
      <c r="Q316" s="286" t="s">
        <v>1754</v>
      </c>
      <c r="R316" s="487" t="s">
        <v>5048</v>
      </c>
    </row>
    <row r="317" spans="2:28">
      <c r="B317" s="335" t="str">
        <f t="shared" si="19"/>
        <v>H27AL narrow frame fitting set (88630)</v>
      </c>
      <c r="M317" s="328" t="s">
        <v>793</v>
      </c>
      <c r="N317" s="286" t="s">
        <v>881</v>
      </c>
      <c r="O317" s="286" t="s">
        <v>882</v>
      </c>
      <c r="P317" s="286" t="s">
        <v>883</v>
      </c>
      <c r="Q317" s="286" t="s">
        <v>2344</v>
      </c>
      <c r="R317" s="487" t="s">
        <v>5049</v>
      </c>
    </row>
    <row r="318" spans="2:28">
      <c r="B318" s="335" t="str">
        <f t="shared" si="19"/>
        <v>H37AL wide frame fitting set (88631)</v>
      </c>
      <c r="M318" s="328" t="s">
        <v>794</v>
      </c>
      <c r="N318" s="286" t="s">
        <v>884</v>
      </c>
      <c r="O318" s="286" t="s">
        <v>885</v>
      </c>
      <c r="P318" s="286" t="s">
        <v>886</v>
      </c>
      <c r="Q318" s="286" t="s">
        <v>2345</v>
      </c>
      <c r="R318" s="487" t="s">
        <v>5050</v>
      </c>
      <c r="AA318" s="334"/>
      <c r="AB318" s="338"/>
    </row>
    <row r="319" spans="2:28">
      <c r="B319" s="335" t="str">
        <f t="shared" si="19"/>
        <v>The height of the frame = internal height of the corpus - 6 mm.</v>
      </c>
      <c r="M319" s="328" t="s">
        <v>4609</v>
      </c>
      <c r="N319" s="286" t="s">
        <v>4611</v>
      </c>
      <c r="O319" s="286" t="s">
        <v>4610</v>
      </c>
      <c r="P319" s="286" t="s">
        <v>4612</v>
      </c>
      <c r="Q319" s="286" t="s">
        <v>4613</v>
      </c>
      <c r="R319" s="487" t="s">
        <v>5051</v>
      </c>
      <c r="AA319" s="334"/>
      <c r="AB319" s="338"/>
    </row>
    <row r="320" spans="2:28">
      <c r="B320" s="335" t="str">
        <f t="shared" si="19"/>
        <v>By default, the frames are ready for the sliding fittings H27AL (25 kg load-capacity per frame) and H37AL (35 kg load-capacity per frame).</v>
      </c>
      <c r="M320" s="328" t="s">
        <v>2193</v>
      </c>
      <c r="N320" s="286" t="s">
        <v>2194</v>
      </c>
      <c r="O320" s="286" t="s">
        <v>2263</v>
      </c>
      <c r="P320" s="286" t="s">
        <v>2262</v>
      </c>
      <c r="Q320" s="286" t="s">
        <v>2346</v>
      </c>
      <c r="R320" s="487" t="s">
        <v>5052</v>
      </c>
      <c r="AA320" s="334"/>
      <c r="AB320" s="338"/>
    </row>
    <row r="321" spans="2:28">
      <c r="B321" s="335" t="str">
        <f t="shared" si="19"/>
        <v>Top guide profile length 2 m (87313)</v>
      </c>
      <c r="M321" s="328" t="s">
        <v>796</v>
      </c>
      <c r="N321" s="286" t="s">
        <v>891</v>
      </c>
      <c r="O321" s="286" t="s">
        <v>892</v>
      </c>
      <c r="P321" s="286" t="s">
        <v>893</v>
      </c>
      <c r="Q321" s="286" t="s">
        <v>2474</v>
      </c>
      <c r="R321" s="487" t="s">
        <v>5053</v>
      </c>
      <c r="AA321" s="334"/>
      <c r="AB321" s="338"/>
    </row>
    <row r="322" spans="2:28">
      <c r="B322" s="335" t="str">
        <f t="shared" si="19"/>
        <v>Bottom guide profile, length 2 m (87315)</v>
      </c>
      <c r="M322" s="328" t="s">
        <v>4239</v>
      </c>
      <c r="N322" s="286" t="s">
        <v>894</v>
      </c>
      <c r="O322" s="286" t="s">
        <v>895</v>
      </c>
      <c r="P322" s="286" t="s">
        <v>896</v>
      </c>
      <c r="Q322" s="286" t="s">
        <v>2475</v>
      </c>
      <c r="R322" s="487" t="s">
        <v>5054</v>
      </c>
      <c r="AA322" s="334"/>
      <c r="AB322" s="338"/>
    </row>
    <row r="323" spans="2:28">
      <c r="B323" s="335" t="str">
        <f t="shared" si="19"/>
        <v>Top guide profile length 3 m (87312)</v>
      </c>
      <c r="M323" s="328" t="s">
        <v>797</v>
      </c>
      <c r="N323" s="286" t="s">
        <v>897</v>
      </c>
      <c r="O323" s="286" t="s">
        <v>898</v>
      </c>
      <c r="P323" s="286" t="s">
        <v>899</v>
      </c>
      <c r="Q323" s="286" t="s">
        <v>2476</v>
      </c>
      <c r="R323" s="487" t="s">
        <v>5055</v>
      </c>
      <c r="AA323" s="334"/>
      <c r="AB323" s="338"/>
    </row>
    <row r="324" spans="2:28" ht="15.75" thickBot="1">
      <c r="B324" s="335" t="str">
        <f t="shared" si="19"/>
        <v>Bottom guide profile, length 3 m (87314)</v>
      </c>
      <c r="M324" s="328" t="s">
        <v>4240</v>
      </c>
      <c r="N324" s="286" t="s">
        <v>900</v>
      </c>
      <c r="O324" s="286" t="s">
        <v>901</v>
      </c>
      <c r="P324" s="286" t="s">
        <v>902</v>
      </c>
      <c r="Q324" s="286" t="s">
        <v>2477</v>
      </c>
      <c r="R324" s="487" t="s">
        <v>5056</v>
      </c>
      <c r="AA324" s="344"/>
      <c r="AB324" s="345"/>
    </row>
    <row r="325" spans="2:28">
      <c r="B325" s="335" t="str">
        <f t="shared" si="19"/>
        <v>Other Request (pieces)</v>
      </c>
      <c r="M325" s="328" t="s">
        <v>806</v>
      </c>
      <c r="N325" s="286" t="s">
        <v>903</v>
      </c>
      <c r="O325" s="286" t="s">
        <v>904</v>
      </c>
      <c r="P325" s="286" t="s">
        <v>905</v>
      </c>
      <c r="Q325" s="286" t="s">
        <v>2478</v>
      </c>
      <c r="R325" s="487" t="s">
        <v>5057</v>
      </c>
      <c r="AA325" s="334"/>
      <c r="AB325" s="338"/>
    </row>
    <row r="326" spans="2:28" ht="15.75" thickBot="1">
      <c r="B326" s="335" t="str">
        <f t="shared" si="19"/>
        <v>Quantity (pieces)</v>
      </c>
      <c r="M326" s="328" t="s">
        <v>810</v>
      </c>
      <c r="N326" s="286" t="s">
        <v>906</v>
      </c>
      <c r="O326" s="286" t="s">
        <v>907</v>
      </c>
      <c r="P326" s="286" t="s">
        <v>908</v>
      </c>
      <c r="Q326" s="286" t="s">
        <v>2479</v>
      </c>
      <c r="R326" s="487" t="s">
        <v>5058</v>
      </c>
      <c r="AA326" s="344"/>
      <c r="AB326" s="345"/>
    </row>
    <row r="327" spans="2:28" ht="15.75" thickBot="1">
      <c r="B327" s="335" t="str">
        <f t="shared" si="19"/>
        <v>For oversize frames (over 1200 x 800 mm), extra special packaging and transport may be charged (more informattion at the customer centre).</v>
      </c>
      <c r="M327" s="328" t="s">
        <v>3676</v>
      </c>
      <c r="N327" s="286" t="s">
        <v>909</v>
      </c>
      <c r="O327" s="286" t="s">
        <v>4636</v>
      </c>
      <c r="P327" s="286" t="s">
        <v>2230</v>
      </c>
      <c r="Q327" s="286" t="s">
        <v>2480</v>
      </c>
      <c r="R327" s="487" t="s">
        <v>5059</v>
      </c>
      <c r="AA327" s="344"/>
      <c r="AB327" s="345"/>
    </row>
    <row r="328" spans="2:28">
      <c r="B328" s="335" t="str">
        <f t="shared" si="19"/>
        <v>The appropriate frame sizes for a particular type of fitting must be verified before entering into the order (Aventplan, catalog, …), the form has no restrictions set.</v>
      </c>
      <c r="M328" s="328" t="s">
        <v>812</v>
      </c>
      <c r="N328" s="286" t="s">
        <v>912</v>
      </c>
      <c r="O328" s="286" t="s">
        <v>2279</v>
      </c>
      <c r="P328" s="286" t="s">
        <v>913</v>
      </c>
      <c r="Q328" s="286" t="s">
        <v>2347</v>
      </c>
      <c r="R328" s="487" t="s">
        <v>5060</v>
      </c>
      <c r="AA328" s="340"/>
      <c r="AB328" s="339"/>
    </row>
    <row r="329" spans="2:28">
      <c r="B329" s="335" t="str">
        <f t="shared" si="19"/>
        <v>The glass sample can be ordered under the codes Lacebel VZK003P and Matelac VZK004P.</v>
      </c>
      <c r="M329" s="328" t="s">
        <v>814</v>
      </c>
      <c r="N329" s="286" t="s">
        <v>915</v>
      </c>
      <c r="O329" s="286" t="s">
        <v>914</v>
      </c>
      <c r="P329" s="286" t="s">
        <v>2231</v>
      </c>
      <c r="Q329" s="286" t="s">
        <v>2348</v>
      </c>
      <c r="R329" s="487" t="s">
        <v>5061</v>
      </c>
      <c r="AA329" s="343"/>
      <c r="AB329" s="338"/>
    </row>
    <row r="330" spans="2:28">
      <c r="B330" s="335" t="str">
        <f t="shared" si="19"/>
        <v>The price for sliding frames is the same as the price for regular frames.</v>
      </c>
      <c r="M330" s="328" t="s">
        <v>2195</v>
      </c>
      <c r="N330" s="286" t="s">
        <v>929</v>
      </c>
      <c r="O330" s="286" t="s">
        <v>2264</v>
      </c>
      <c r="P330" s="286" t="s">
        <v>2265</v>
      </c>
      <c r="Q330" s="286" t="s">
        <v>2349</v>
      </c>
      <c r="R330" s="487" t="s">
        <v>5062</v>
      </c>
      <c r="AA330" s="343"/>
      <c r="AB330" s="338"/>
    </row>
    <row r="331" spans="2:28">
      <c r="B331" s="335" t="str">
        <f t="shared" si="19"/>
        <v>If the Handle is fixed through glass, a distance washer must always be used (e.g. 144516, 191970, C0315)</v>
      </c>
      <c r="M331" s="328" t="s">
        <v>1561</v>
      </c>
      <c r="N331" s="286" t="s">
        <v>1562</v>
      </c>
      <c r="O331" s="286" t="s">
        <v>1563</v>
      </c>
      <c r="P331" s="286" t="s">
        <v>1564</v>
      </c>
      <c r="Q331" s="286" t="s">
        <v>2378</v>
      </c>
      <c r="R331" s="487" t="s">
        <v>5063</v>
      </c>
      <c r="AA331" s="343"/>
      <c r="AB331" s="338"/>
    </row>
    <row r="332" spans="2:28">
      <c r="B332" s="335" t="str">
        <f t="shared" si="19"/>
        <v>The above door drawings are shown when viewed from the front.</v>
      </c>
      <c r="M332" s="328" t="s">
        <v>972</v>
      </c>
      <c r="N332" s="286" t="s">
        <v>1280</v>
      </c>
      <c r="O332" s="286" t="s">
        <v>2280</v>
      </c>
      <c r="P332" s="286" t="s">
        <v>2232</v>
      </c>
      <c r="Q332" s="286" t="s">
        <v>2350</v>
      </c>
      <c r="R332" s="487" t="s">
        <v>5064</v>
      </c>
      <c r="AA332" s="343"/>
      <c r="AB332" s="338"/>
    </row>
    <row r="333" spans="2:28">
      <c r="B333" s="335" t="str">
        <f t="shared" si="19"/>
        <v>Oversized box, higher traffic may be charged</v>
      </c>
      <c r="M333" s="328" t="s">
        <v>973</v>
      </c>
      <c r="N333" s="286" t="s">
        <v>974</v>
      </c>
      <c r="O333" s="286" t="s">
        <v>975</v>
      </c>
      <c r="P333" s="286" t="s">
        <v>976</v>
      </c>
      <c r="Q333" s="286" t="s">
        <v>2351</v>
      </c>
      <c r="R333" s="487" t="s">
        <v>5065</v>
      </c>
      <c r="AA333" s="343"/>
      <c r="AB333" s="338"/>
    </row>
    <row r="334" spans="2:28">
      <c r="B334" s="335" t="str">
        <f t="shared" si="19"/>
        <v>Arm position</v>
      </c>
      <c r="M334" s="328" t="s">
        <v>1003</v>
      </c>
      <c r="N334" s="286" t="s">
        <v>1281</v>
      </c>
      <c r="O334" s="286" t="s">
        <v>2281</v>
      </c>
      <c r="P334" s="286" t="s">
        <v>1282</v>
      </c>
      <c r="Q334" s="286" t="s">
        <v>2352</v>
      </c>
      <c r="R334" s="487" t="s">
        <v>5066</v>
      </c>
      <c r="AA334" s="343"/>
      <c r="AB334" s="338"/>
    </row>
    <row r="335" spans="2:28" ht="15.75" thickBot="1">
      <c r="B335" s="335" t="str">
        <f t="shared" si="19"/>
        <v>Maximum possible frame size is 2500x1300mm</v>
      </c>
      <c r="M335" s="328" t="s">
        <v>1119</v>
      </c>
      <c r="N335" s="286" t="s">
        <v>1127</v>
      </c>
      <c r="O335" s="286" t="s">
        <v>1128</v>
      </c>
      <c r="P335" s="286" t="s">
        <v>1129</v>
      </c>
      <c r="Q335" s="286" t="s">
        <v>2481</v>
      </c>
      <c r="R335" s="487" t="s">
        <v>5067</v>
      </c>
      <c r="AA335" s="346"/>
      <c r="AB335" s="345"/>
    </row>
    <row r="336" spans="2:28">
      <c r="B336" s="335" t="str">
        <f t="shared" si="19"/>
        <v>The minimum hinge distance from the edge of the frame is 70mm</v>
      </c>
      <c r="M336" s="328" t="s">
        <v>1120</v>
      </c>
      <c r="N336" s="286" t="s">
        <v>1130</v>
      </c>
      <c r="O336" s="286" t="s">
        <v>1131</v>
      </c>
      <c r="P336" s="286" t="s">
        <v>1132</v>
      </c>
      <c r="Q336" s="286" t="s">
        <v>2353</v>
      </c>
      <c r="R336" s="487" t="s">
        <v>5068</v>
      </c>
      <c r="AA336" s="343"/>
      <c r="AB336" s="338"/>
    </row>
    <row r="337" spans="2:28" ht="15.75" thickBot="1">
      <c r="B337" s="335" t="str">
        <f t="shared" si="19"/>
        <v>The minimum hinge distance from the edge of the frame is 80mm</v>
      </c>
      <c r="M337" s="328" t="s">
        <v>1121</v>
      </c>
      <c r="N337" s="286" t="s">
        <v>1133</v>
      </c>
      <c r="O337" s="286" t="s">
        <v>1134</v>
      </c>
      <c r="P337" s="286" t="s">
        <v>1135</v>
      </c>
      <c r="Q337" s="286" t="s">
        <v>2354</v>
      </c>
      <c r="R337" s="487" t="s">
        <v>5069</v>
      </c>
      <c r="AA337" s="346"/>
      <c r="AB337" s="345"/>
    </row>
    <row r="338" spans="2:28" ht="15.75" thickBot="1">
      <c r="B338" s="335" t="str">
        <f t="shared" si="19"/>
        <v>Overlay clip hinge</v>
      </c>
      <c r="M338" s="328" t="s">
        <v>94</v>
      </c>
      <c r="N338" s="286" t="s">
        <v>94</v>
      </c>
      <c r="O338" s="286" t="s">
        <v>448</v>
      </c>
      <c r="P338" s="286" t="s">
        <v>524</v>
      </c>
      <c r="Q338" s="286" t="s">
        <v>2416</v>
      </c>
      <c r="R338" s="487" t="s">
        <v>4948</v>
      </c>
      <c r="AA338" s="346"/>
      <c r="AB338" s="345"/>
    </row>
    <row r="339" spans="2:28">
      <c r="B339" s="335" t="str">
        <f t="shared" si="19"/>
        <v>Half-overlay clip hinge</v>
      </c>
      <c r="M339" s="328" t="s">
        <v>95</v>
      </c>
      <c r="N339" s="286" t="s">
        <v>95</v>
      </c>
      <c r="O339" s="286" t="s">
        <v>449</v>
      </c>
      <c r="P339" s="286" t="s">
        <v>2208</v>
      </c>
      <c r="Q339" s="286" t="s">
        <v>2417</v>
      </c>
      <c r="R339" s="487" t="s">
        <v>4949</v>
      </c>
      <c r="AB339" s="339"/>
    </row>
    <row r="340" spans="2:28">
      <c r="B340" s="335" t="str">
        <f t="shared" si="19"/>
        <v>Inset clip hinge</v>
      </c>
      <c r="M340" s="328" t="s">
        <v>96</v>
      </c>
      <c r="N340" s="286" t="s">
        <v>96</v>
      </c>
      <c r="O340" s="286" t="s">
        <v>450</v>
      </c>
      <c r="P340" s="286" t="s">
        <v>2209</v>
      </c>
      <c r="Q340" s="286" t="s">
        <v>2418</v>
      </c>
      <c r="R340" s="487" t="s">
        <v>5070</v>
      </c>
      <c r="AB340" s="338"/>
    </row>
    <row r="341" spans="2:28">
      <c r="B341" s="335" t="str">
        <f t="shared" si="19"/>
        <v>45°angle</v>
      </c>
      <c r="M341" s="328" t="s">
        <v>97</v>
      </c>
      <c r="N341" s="286" t="s">
        <v>389</v>
      </c>
      <c r="O341" s="286" t="s">
        <v>451</v>
      </c>
      <c r="P341" s="286" t="s">
        <v>527</v>
      </c>
      <c r="Q341" s="286" t="s">
        <v>2317</v>
      </c>
      <c r="R341" s="487" t="s">
        <v>4951</v>
      </c>
      <c r="AB341" s="338"/>
    </row>
    <row r="342" spans="2:28">
      <c r="B342" s="335" t="str">
        <f t="shared" si="19"/>
        <v xml:space="preserve">Overlay </v>
      </c>
      <c r="M342" s="328" t="s">
        <v>98</v>
      </c>
      <c r="N342" s="286" t="s">
        <v>390</v>
      </c>
      <c r="O342" s="286" t="s">
        <v>452</v>
      </c>
      <c r="P342" s="286" t="s">
        <v>528</v>
      </c>
      <c r="Q342" s="286" t="s">
        <v>2419</v>
      </c>
      <c r="R342" s="487" t="s">
        <v>4952</v>
      </c>
      <c r="AB342" s="338"/>
    </row>
    <row r="343" spans="2:28">
      <c r="B343" s="335" t="str">
        <f t="shared" si="19"/>
        <v>Half-overlay</v>
      </c>
      <c r="M343" s="328" t="s">
        <v>99</v>
      </c>
      <c r="N343" s="286" t="s">
        <v>391</v>
      </c>
      <c r="O343" s="286" t="s">
        <v>453</v>
      </c>
      <c r="P343" s="286" t="s">
        <v>2210</v>
      </c>
      <c r="Q343" s="286" t="s">
        <v>2420</v>
      </c>
      <c r="R343" s="487" t="s">
        <v>4953</v>
      </c>
      <c r="AB343" s="338"/>
    </row>
    <row r="344" spans="2:28">
      <c r="B344" s="335" t="str">
        <f t="shared" si="19"/>
        <v>Inset</v>
      </c>
      <c r="M344" s="328" t="s">
        <v>100</v>
      </c>
      <c r="N344" s="286" t="s">
        <v>392</v>
      </c>
      <c r="O344" s="286" t="s">
        <v>454</v>
      </c>
      <c r="P344" s="286" t="s">
        <v>2211</v>
      </c>
      <c r="Q344" s="286" t="s">
        <v>1660</v>
      </c>
      <c r="R344" s="487" t="s">
        <v>4954</v>
      </c>
      <c r="AB344" s="338"/>
    </row>
    <row r="345" spans="2:28">
      <c r="B345" s="335" t="str">
        <f t="shared" si="19"/>
        <v>45°angle</v>
      </c>
      <c r="M345" s="328" t="s">
        <v>97</v>
      </c>
      <c r="N345" s="286" t="s">
        <v>389</v>
      </c>
      <c r="O345" s="286" t="s">
        <v>451</v>
      </c>
      <c r="P345" s="286" t="s">
        <v>527</v>
      </c>
      <c r="Q345" s="286" t="s">
        <v>2317</v>
      </c>
      <c r="R345" s="487" t="s">
        <v>4951</v>
      </c>
      <c r="AB345" s="338"/>
    </row>
    <row r="346" spans="2:28" ht="15.75" thickBot="1">
      <c r="B346" s="335" t="str">
        <f t="shared" si="19"/>
        <v>Overlay with reversed spring function</v>
      </c>
      <c r="M346" s="328" t="s">
        <v>101</v>
      </c>
      <c r="N346" s="286" t="s">
        <v>101</v>
      </c>
      <c r="O346" s="286" t="s">
        <v>455</v>
      </c>
      <c r="P346" s="286" t="s">
        <v>531</v>
      </c>
      <c r="Q346" s="286" t="s">
        <v>2421</v>
      </c>
      <c r="R346" s="487" t="s">
        <v>4955</v>
      </c>
      <c r="AB346" s="345"/>
    </row>
    <row r="347" spans="2:28">
      <c r="B347" s="335" t="str">
        <f t="shared" si="19"/>
        <v>Inset with reversed spring function</v>
      </c>
      <c r="M347" s="328" t="s">
        <v>102</v>
      </c>
      <c r="N347" s="286" t="s">
        <v>102</v>
      </c>
      <c r="O347" s="286" t="s">
        <v>456</v>
      </c>
      <c r="P347" s="286" t="s">
        <v>2212</v>
      </c>
      <c r="Q347" s="286" t="s">
        <v>2422</v>
      </c>
      <c r="R347" s="487" t="s">
        <v>4956</v>
      </c>
      <c r="AB347" s="338"/>
    </row>
    <row r="348" spans="2:28" ht="15.75" thickBot="1">
      <c r="B348" s="335" t="str">
        <f t="shared" si="19"/>
        <v>Clip on plate H2 for screws fixing</v>
      </c>
      <c r="M348" s="328" t="s">
        <v>185</v>
      </c>
      <c r="N348" s="286" t="s">
        <v>393</v>
      </c>
      <c r="O348" s="286" t="s">
        <v>457</v>
      </c>
      <c r="P348" s="286" t="s">
        <v>533</v>
      </c>
      <c r="Q348" s="286" t="s">
        <v>2423</v>
      </c>
      <c r="R348" s="487" t="s">
        <v>4957</v>
      </c>
      <c r="AB348" s="345"/>
    </row>
    <row r="349" spans="2:28" ht="15.75" thickBot="1">
      <c r="B349" s="335" t="str">
        <f t="shared" si="19"/>
        <v>Clip on plate H4 for screws fixing</v>
      </c>
      <c r="M349" s="328" t="s">
        <v>186</v>
      </c>
      <c r="N349" s="286" t="s">
        <v>394</v>
      </c>
      <c r="O349" s="286" t="s">
        <v>458</v>
      </c>
      <c r="P349" s="286" t="s">
        <v>534</v>
      </c>
      <c r="Q349" s="286" t="s">
        <v>2424</v>
      </c>
      <c r="R349" s="487" t="s">
        <v>4958</v>
      </c>
      <c r="AB349" s="345"/>
    </row>
    <row r="350" spans="2:28">
      <c r="B350" s="335" t="str">
        <f t="shared" si="19"/>
        <v>Clip on plate H2 for Euro-screws fixing</v>
      </c>
      <c r="M350" s="328" t="s">
        <v>187</v>
      </c>
      <c r="N350" s="286" t="s">
        <v>395</v>
      </c>
      <c r="O350" s="286" t="s">
        <v>459</v>
      </c>
      <c r="P350" s="286" t="s">
        <v>535</v>
      </c>
      <c r="Q350" s="286" t="s">
        <v>2425</v>
      </c>
      <c r="R350" s="487" t="s">
        <v>5326</v>
      </c>
    </row>
    <row r="351" spans="2:28">
      <c r="B351" s="335" t="str">
        <f t="shared" si="19"/>
        <v>Clip on plate H4 for Euro-screws fixing</v>
      </c>
      <c r="M351" s="328" t="s">
        <v>188</v>
      </c>
      <c r="N351" s="286" t="s">
        <v>396</v>
      </c>
      <c r="O351" s="286" t="s">
        <v>460</v>
      </c>
      <c r="P351" s="286" t="s">
        <v>536</v>
      </c>
      <c r="Q351" s="286" t="s">
        <v>2426</v>
      </c>
      <c r="R351" s="487" t="s">
        <v>4959</v>
      </c>
    </row>
    <row r="352" spans="2:28">
      <c r="B352" s="335" t="str">
        <f t="shared" si="19"/>
        <v>Slide on plate H2  for screw fixing</v>
      </c>
      <c r="M352" s="328" t="s">
        <v>189</v>
      </c>
      <c r="N352" s="286" t="s">
        <v>397</v>
      </c>
      <c r="O352" s="286" t="s">
        <v>461</v>
      </c>
      <c r="P352" s="286" t="s">
        <v>537</v>
      </c>
      <c r="Q352" s="286" t="s">
        <v>2427</v>
      </c>
      <c r="R352" s="487" t="s">
        <v>4960</v>
      </c>
    </row>
    <row r="353" spans="2:18">
      <c r="B353" s="335" t="str">
        <f t="shared" si="19"/>
        <v>Slide on plate H4  for screw fixing</v>
      </c>
      <c r="M353" s="328" t="s">
        <v>190</v>
      </c>
      <c r="N353" s="286" t="s">
        <v>398</v>
      </c>
      <c r="O353" s="286" t="s">
        <v>462</v>
      </c>
      <c r="P353" s="286" t="s">
        <v>538</v>
      </c>
      <c r="Q353" s="286" t="s">
        <v>2428</v>
      </c>
      <c r="R353" s="487" t="s">
        <v>4961</v>
      </c>
    </row>
    <row r="354" spans="2:18">
      <c r="B354" s="335" t="str">
        <f t="shared" si="19"/>
        <v>Slide on plate H2  for Euro-screw fixing</v>
      </c>
      <c r="M354" s="328" t="s">
        <v>191</v>
      </c>
      <c r="N354" s="286" t="s">
        <v>399</v>
      </c>
      <c r="O354" s="286" t="s">
        <v>463</v>
      </c>
      <c r="P354" s="286" t="s">
        <v>539</v>
      </c>
      <c r="Q354" s="286" t="s">
        <v>2429</v>
      </c>
      <c r="R354" s="487" t="s">
        <v>4962</v>
      </c>
    </row>
    <row r="355" spans="2:18">
      <c r="B355" s="335" t="str">
        <f t="shared" si="19"/>
        <v>Slide on plate H4  for Euro-screw fixing</v>
      </c>
      <c r="M355" s="328" t="s">
        <v>192</v>
      </c>
      <c r="N355" s="286" t="s">
        <v>400</v>
      </c>
      <c r="O355" s="286" t="s">
        <v>464</v>
      </c>
      <c r="P355" s="286" t="s">
        <v>540</v>
      </c>
      <c r="Q355" s="286" t="s">
        <v>2430</v>
      </c>
      <c r="R355" s="487" t="s">
        <v>4963</v>
      </c>
    </row>
    <row r="356" spans="2:18">
      <c r="B356" s="335" t="str">
        <f t="shared" si="19"/>
        <v>Overlay clip hinge</v>
      </c>
      <c r="M356" s="328" t="s">
        <v>94</v>
      </c>
      <c r="N356" s="286" t="s">
        <v>94</v>
      </c>
      <c r="O356" s="286" t="s">
        <v>448</v>
      </c>
      <c r="P356" s="286" t="s">
        <v>524</v>
      </c>
      <c r="Q356" s="286" t="s">
        <v>2416</v>
      </c>
      <c r="R356" s="487" t="s">
        <v>4948</v>
      </c>
    </row>
    <row r="357" spans="2:18">
      <c r="B357" s="335" t="str">
        <f t="shared" si="19"/>
        <v>Half-overlay clip hinge</v>
      </c>
      <c r="M357" s="328" t="s">
        <v>95</v>
      </c>
      <c r="N357" s="286" t="s">
        <v>95</v>
      </c>
      <c r="O357" s="286" t="s">
        <v>449</v>
      </c>
      <c r="P357" s="286" t="s">
        <v>2208</v>
      </c>
      <c r="Q357" s="286" t="s">
        <v>2417</v>
      </c>
      <c r="R357" s="487" t="s">
        <v>4949</v>
      </c>
    </row>
    <row r="358" spans="2:18">
      <c r="B358" s="335" t="str">
        <f t="shared" si="19"/>
        <v>Inset clip hinge</v>
      </c>
      <c r="M358" s="328" t="s">
        <v>96</v>
      </c>
      <c r="N358" s="286" t="s">
        <v>96</v>
      </c>
      <c r="O358" s="286" t="s">
        <v>450</v>
      </c>
      <c r="P358" s="286" t="s">
        <v>2209</v>
      </c>
      <c r="Q358" s="286" t="s">
        <v>2418</v>
      </c>
      <c r="R358" s="487" t="s">
        <v>4950</v>
      </c>
    </row>
    <row r="359" spans="2:18">
      <c r="B359" s="335" t="str">
        <f t="shared" si="19"/>
        <v>45° clip-on</v>
      </c>
      <c r="M359" s="328" t="s">
        <v>0</v>
      </c>
      <c r="N359" s="286" t="s">
        <v>407</v>
      </c>
      <c r="O359" s="286" t="s">
        <v>0</v>
      </c>
      <c r="P359" s="286" t="s">
        <v>2215</v>
      </c>
      <c r="Q359" s="286" t="s">
        <v>2440</v>
      </c>
      <c r="R359" s="487" t="s">
        <v>4974</v>
      </c>
    </row>
    <row r="360" spans="2:18">
      <c r="B360" s="335" t="str">
        <f t="shared" si="19"/>
        <v>StrongHinges clip-on on Euro Screw H0</v>
      </c>
      <c r="M360" s="328" t="s">
        <v>3306</v>
      </c>
      <c r="N360" s="286" t="s">
        <v>3307</v>
      </c>
      <c r="O360" s="286" t="s">
        <v>3308</v>
      </c>
      <c r="P360" s="286" t="s">
        <v>3309</v>
      </c>
      <c r="Q360" s="286" t="s">
        <v>3310</v>
      </c>
      <c r="R360" s="487" t="s">
        <v>5071</v>
      </c>
    </row>
    <row r="361" spans="2:18">
      <c r="B361" s="335" t="str">
        <f t="shared" si="19"/>
        <v>StrongHinges clip-on to vrut H0</v>
      </c>
      <c r="M361" s="328" t="s">
        <v>3311</v>
      </c>
      <c r="N361" s="286" t="s">
        <v>3312</v>
      </c>
      <c r="O361" s="286" t="s">
        <v>3313</v>
      </c>
      <c r="P361" s="286" t="s">
        <v>3314</v>
      </c>
      <c r="Q361" s="286" t="s">
        <v>3315</v>
      </c>
      <c r="R361" s="487" t="s">
        <v>5072</v>
      </c>
    </row>
    <row r="362" spans="2:18">
      <c r="B362" s="335" t="str">
        <f t="shared" ref="B362:B425" si="20">IF($D$1=1,M362,IF($D$1=2,N362,IF($D$1=3,O362,IF($D$1=4,P362,IF($D$1=5,Q362,IF($D$1=6,R362,0))))))</f>
        <v>StrongHinges clip-on to H2 Euro Screw</v>
      </c>
      <c r="M362" s="328" t="s">
        <v>3316</v>
      </c>
      <c r="N362" s="286" t="s">
        <v>3317</v>
      </c>
      <c r="O362" s="286" t="s">
        <v>3318</v>
      </c>
      <c r="P362" s="286" t="s">
        <v>3319</v>
      </c>
      <c r="Q362" s="286" t="s">
        <v>3320</v>
      </c>
      <c r="R362" s="487" t="s">
        <v>5073</v>
      </c>
    </row>
    <row r="363" spans="2:18">
      <c r="B363" s="335" t="str">
        <f t="shared" si="20"/>
        <v>StrongHinges clip-on to vrut H2</v>
      </c>
      <c r="M363" s="328" t="s">
        <v>3321</v>
      </c>
      <c r="N363" s="286" t="s">
        <v>3322</v>
      </c>
      <c r="O363" s="286" t="s">
        <v>3323</v>
      </c>
      <c r="P363" s="286" t="s">
        <v>3324</v>
      </c>
      <c r="Q363" s="286" t="s">
        <v>3325</v>
      </c>
      <c r="R363" s="487" t="s">
        <v>5074</v>
      </c>
    </row>
    <row r="364" spans="2:18">
      <c r="B364" s="335" t="str">
        <f t="shared" si="20"/>
        <v>Overlay clip hinge</v>
      </c>
      <c r="M364" s="328" t="s">
        <v>94</v>
      </c>
      <c r="N364" s="286" t="s">
        <v>94</v>
      </c>
      <c r="O364" s="286" t="s">
        <v>448</v>
      </c>
      <c r="P364" s="286" t="s">
        <v>524</v>
      </c>
      <c r="Q364" s="286" t="s">
        <v>2416</v>
      </c>
      <c r="R364" s="487" t="s">
        <v>4948</v>
      </c>
    </row>
    <row r="365" spans="2:18">
      <c r="B365" s="335" t="str">
        <f t="shared" si="20"/>
        <v>Overlay clip hinge</v>
      </c>
      <c r="M365" s="328" t="s">
        <v>94</v>
      </c>
      <c r="N365" s="286" t="s">
        <v>94</v>
      </c>
      <c r="O365" s="286" t="s">
        <v>448</v>
      </c>
      <c r="P365" s="286" t="s">
        <v>524</v>
      </c>
      <c r="Q365" s="286" t="s">
        <v>2416</v>
      </c>
      <c r="R365" s="487" t="s">
        <v>4948</v>
      </c>
    </row>
    <row r="366" spans="2:18">
      <c r="B366" s="335" t="str">
        <f t="shared" si="20"/>
        <v>Half-overlay clip hinge</v>
      </c>
      <c r="M366" s="328" t="s">
        <v>95</v>
      </c>
      <c r="N366" s="286" t="s">
        <v>95</v>
      </c>
      <c r="O366" s="286" t="s">
        <v>449</v>
      </c>
      <c r="P366" s="286" t="s">
        <v>2208</v>
      </c>
      <c r="Q366" s="286" t="s">
        <v>2417</v>
      </c>
      <c r="R366" s="487" t="s">
        <v>4949</v>
      </c>
    </row>
    <row r="367" spans="2:18">
      <c r="B367" s="335" t="str">
        <f t="shared" si="20"/>
        <v>Inset clip hinge</v>
      </c>
      <c r="M367" s="328" t="s">
        <v>96</v>
      </c>
      <c r="N367" s="286" t="s">
        <v>96</v>
      </c>
      <c r="O367" s="286" t="s">
        <v>450</v>
      </c>
      <c r="P367" s="286" t="s">
        <v>2209</v>
      </c>
      <c r="Q367" s="286" t="s">
        <v>2418</v>
      </c>
      <c r="R367" s="487" t="s">
        <v>4950</v>
      </c>
    </row>
    <row r="368" spans="2:18">
      <c r="B368" s="335" t="str">
        <f t="shared" si="20"/>
        <v>45° clip-on</v>
      </c>
      <c r="M368" s="328" t="s">
        <v>0</v>
      </c>
      <c r="N368" s="286" t="s">
        <v>407</v>
      </c>
      <c r="O368" s="286" t="s">
        <v>0</v>
      </c>
      <c r="P368" s="286" t="s">
        <v>2215</v>
      </c>
      <c r="Q368" s="286" t="s">
        <v>2440</v>
      </c>
      <c r="R368" s="487" t="s">
        <v>4974</v>
      </c>
    </row>
    <row r="369" spans="2:18">
      <c r="B369" s="335" t="str">
        <f t="shared" si="20"/>
        <v>Clip-on H0 for Euro-Screw fixing</v>
      </c>
      <c r="M369" s="328" t="s">
        <v>184</v>
      </c>
      <c r="N369" s="286" t="s">
        <v>408</v>
      </c>
      <c r="O369" s="286" t="s">
        <v>473</v>
      </c>
      <c r="P369" s="286" t="s">
        <v>549</v>
      </c>
      <c r="Q369" s="286" t="s">
        <v>2441</v>
      </c>
      <c r="R369" s="487" t="s">
        <v>5075</v>
      </c>
    </row>
    <row r="370" spans="2:18">
      <c r="B370" s="335" t="str">
        <f t="shared" si="20"/>
        <v>Clip-on H0 for screw fixing</v>
      </c>
      <c r="M370" s="328" t="s">
        <v>183</v>
      </c>
      <c r="N370" s="286" t="s">
        <v>409</v>
      </c>
      <c r="O370" s="286" t="s">
        <v>474</v>
      </c>
      <c r="P370" s="286" t="s">
        <v>550</v>
      </c>
      <c r="Q370" s="286" t="s">
        <v>2442</v>
      </c>
      <c r="R370" s="487" t="s">
        <v>4976</v>
      </c>
    </row>
    <row r="371" spans="2:18">
      <c r="B371" s="335" t="str">
        <f t="shared" si="20"/>
        <v>Clip on plate H2 for Euro-screws fixing</v>
      </c>
      <c r="M371" s="328" t="s">
        <v>187</v>
      </c>
      <c r="N371" s="286" t="s">
        <v>395</v>
      </c>
      <c r="O371" s="286" t="s">
        <v>459</v>
      </c>
      <c r="P371" s="286" t="s">
        <v>535</v>
      </c>
      <c r="Q371" s="286" t="s">
        <v>2425</v>
      </c>
      <c r="R371" s="487" t="s">
        <v>5076</v>
      </c>
    </row>
    <row r="372" spans="2:18">
      <c r="B372" s="335" t="str">
        <f t="shared" si="20"/>
        <v>Sensys Overlay soft-closing</v>
      </c>
      <c r="M372" s="328" t="s">
        <v>991</v>
      </c>
      <c r="N372" s="286" t="s">
        <v>1136</v>
      </c>
      <c r="O372" s="286" t="s">
        <v>1137</v>
      </c>
      <c r="P372" s="286" t="s">
        <v>1138</v>
      </c>
      <c r="Q372" s="286" t="s">
        <v>2482</v>
      </c>
      <c r="R372" s="487" t="s">
        <v>5077</v>
      </c>
    </row>
    <row r="373" spans="2:18">
      <c r="B373" s="335" t="str">
        <f t="shared" si="20"/>
        <v>Sensys half-Overlay soft-closing</v>
      </c>
      <c r="M373" s="328" t="s">
        <v>992</v>
      </c>
      <c r="N373" s="286" t="s">
        <v>1139</v>
      </c>
      <c r="O373" s="286" t="s">
        <v>1140</v>
      </c>
      <c r="P373" s="286" t="s">
        <v>2233</v>
      </c>
      <c r="Q373" s="286" t="s">
        <v>2483</v>
      </c>
      <c r="R373" s="487" t="s">
        <v>5078</v>
      </c>
    </row>
    <row r="374" spans="2:18">
      <c r="B374" s="335" t="str">
        <f t="shared" si="20"/>
        <v>Sensys Inset soft-closing</v>
      </c>
      <c r="M374" s="328" t="s">
        <v>993</v>
      </c>
      <c r="N374" s="286" t="s">
        <v>1142</v>
      </c>
      <c r="O374" s="286" t="s">
        <v>1143</v>
      </c>
      <c r="P374" s="286" t="s">
        <v>2234</v>
      </c>
      <c r="Q374" s="286" t="s">
        <v>2484</v>
      </c>
      <c r="R374" s="487" t="s">
        <v>5079</v>
      </c>
    </row>
    <row r="375" spans="2:18">
      <c r="B375" s="335" t="str">
        <f t="shared" si="20"/>
        <v>Sensys 90° hinge soft-closing</v>
      </c>
      <c r="M375" s="328" t="s">
        <v>994</v>
      </c>
      <c r="N375" s="286" t="s">
        <v>1145</v>
      </c>
      <c r="O375" s="286" t="s">
        <v>1146</v>
      </c>
      <c r="P375" s="286" t="s">
        <v>1147</v>
      </c>
      <c r="Q375" s="286" t="s">
        <v>2485</v>
      </c>
      <c r="R375" s="491" t="s">
        <v>5080</v>
      </c>
    </row>
    <row r="376" spans="2:18">
      <c r="B376" s="335" t="str">
        <f t="shared" si="20"/>
        <v>Sensys Overlay Unsoft-closing</v>
      </c>
      <c r="M376" s="328" t="s">
        <v>995</v>
      </c>
      <c r="N376" s="286" t="s">
        <v>1148</v>
      </c>
      <c r="O376" s="286" t="s">
        <v>1149</v>
      </c>
      <c r="P376" s="286" t="s">
        <v>1150</v>
      </c>
      <c r="Q376" s="286" t="s">
        <v>2486</v>
      </c>
      <c r="R376" s="487" t="s">
        <v>5081</v>
      </c>
    </row>
    <row r="377" spans="2:18">
      <c r="B377" s="335" t="str">
        <f t="shared" si="20"/>
        <v>Intermat Overlay</v>
      </c>
      <c r="M377" s="328" t="s">
        <v>996</v>
      </c>
      <c r="N377" s="286" t="s">
        <v>996</v>
      </c>
      <c r="O377" s="286" t="s">
        <v>1151</v>
      </c>
      <c r="P377" s="286" t="s">
        <v>1152</v>
      </c>
      <c r="Q377" s="286" t="s">
        <v>2487</v>
      </c>
      <c r="R377" s="487" t="s">
        <v>5082</v>
      </c>
    </row>
    <row r="378" spans="2:18">
      <c r="B378" s="335" t="str">
        <f t="shared" si="20"/>
        <v>Intermat Overlay 125°</v>
      </c>
      <c r="M378" s="328" t="s">
        <v>997</v>
      </c>
      <c r="N378" s="286" t="s">
        <v>997</v>
      </c>
      <c r="O378" s="286" t="s">
        <v>1153</v>
      </c>
      <c r="P378" s="286" t="s">
        <v>1154</v>
      </c>
      <c r="Q378" s="286" t="s">
        <v>2488</v>
      </c>
      <c r="R378" s="487" t="s">
        <v>5083</v>
      </c>
    </row>
    <row r="379" spans="2:18">
      <c r="B379" s="335" t="str">
        <f t="shared" si="20"/>
        <v>Intermat half-Overlay</v>
      </c>
      <c r="M379" s="328" t="s">
        <v>998</v>
      </c>
      <c r="N379" s="286" t="s">
        <v>998</v>
      </c>
      <c r="O379" s="286" t="s">
        <v>1155</v>
      </c>
      <c r="P379" s="286" t="s">
        <v>2235</v>
      </c>
      <c r="Q379" s="286" t="s">
        <v>2489</v>
      </c>
      <c r="R379" s="487" t="s">
        <v>5327</v>
      </c>
    </row>
    <row r="380" spans="2:18">
      <c r="B380" s="335" t="str">
        <f t="shared" si="20"/>
        <v>Intermat inserted</v>
      </c>
      <c r="M380" s="328" t="s">
        <v>999</v>
      </c>
      <c r="N380" s="286" t="s">
        <v>999</v>
      </c>
      <c r="O380" s="286" t="s">
        <v>1157</v>
      </c>
      <c r="P380" s="286" t="s">
        <v>2236</v>
      </c>
      <c r="Q380" s="286" t="s">
        <v>2355</v>
      </c>
      <c r="R380" s="487" t="s">
        <v>5084</v>
      </c>
    </row>
    <row r="381" spans="2:18">
      <c r="B381" s="335" t="str">
        <f t="shared" si="20"/>
        <v>Intermat 90° hinge</v>
      </c>
      <c r="M381" s="328" t="s">
        <v>1000</v>
      </c>
      <c r="N381" s="286" t="s">
        <v>1159</v>
      </c>
      <c r="O381" s="286" t="s">
        <v>1160</v>
      </c>
      <c r="P381" s="286" t="s">
        <v>1161</v>
      </c>
      <c r="Q381" s="286" t="s">
        <v>2490</v>
      </c>
      <c r="R381" s="487" t="s">
        <v>5085</v>
      </c>
    </row>
    <row r="382" spans="2:18">
      <c r="B382" s="335" t="str">
        <f t="shared" si="20"/>
        <v>Sensys Overlay without soft-closing</v>
      </c>
      <c r="M382" s="328" t="s">
        <v>1019</v>
      </c>
      <c r="N382" s="286" t="s">
        <v>1162</v>
      </c>
      <c r="O382" s="286" t="s">
        <v>1149</v>
      </c>
      <c r="P382" s="286" t="s">
        <v>1150</v>
      </c>
      <c r="Q382" s="286" t="s">
        <v>2491</v>
      </c>
      <c r="R382" s="487" t="s">
        <v>5081</v>
      </c>
    </row>
    <row r="383" spans="2:18">
      <c r="B383" s="335" t="str">
        <f t="shared" si="20"/>
        <v>Sensys inserted without soft-closing</v>
      </c>
      <c r="M383" s="328" t="s">
        <v>1020</v>
      </c>
      <c r="N383" s="286" t="s">
        <v>1163</v>
      </c>
      <c r="O383" s="286" t="s">
        <v>1164</v>
      </c>
      <c r="P383" s="286" t="s">
        <v>2237</v>
      </c>
      <c r="Q383" s="286" t="s">
        <v>2492</v>
      </c>
      <c r="R383" s="487" t="s">
        <v>5086</v>
      </c>
    </row>
    <row r="384" spans="2:18">
      <c r="B384" s="335" t="str">
        <f t="shared" si="20"/>
        <v>Sensys Overlay soft-closing</v>
      </c>
      <c r="M384" s="328" t="s">
        <v>991</v>
      </c>
      <c r="N384" s="286" t="s">
        <v>1136</v>
      </c>
      <c r="O384" s="286" t="s">
        <v>1137</v>
      </c>
      <c r="P384" s="286" t="s">
        <v>1138</v>
      </c>
      <c r="Q384" s="286" t="s">
        <v>2482</v>
      </c>
      <c r="R384" s="487" t="s">
        <v>5077</v>
      </c>
    </row>
    <row r="385" spans="2:18">
      <c r="B385" s="335" t="str">
        <f t="shared" si="20"/>
        <v>Sensys Inset soft-closing</v>
      </c>
      <c r="M385" s="328" t="s">
        <v>993</v>
      </c>
      <c r="N385" s="286" t="s">
        <v>1142</v>
      </c>
      <c r="O385" s="286" t="s">
        <v>1143</v>
      </c>
      <c r="P385" s="286" t="s">
        <v>2234</v>
      </c>
      <c r="Q385" s="286" t="s">
        <v>2484</v>
      </c>
      <c r="R385" s="487" t="s">
        <v>5079</v>
      </c>
    </row>
    <row r="386" spans="2:18">
      <c r="B386" s="335" t="str">
        <f t="shared" si="20"/>
        <v>Intermat Overlay</v>
      </c>
      <c r="M386" s="328" t="s">
        <v>996</v>
      </c>
      <c r="N386" s="286" t="s">
        <v>996</v>
      </c>
      <c r="O386" s="286" t="s">
        <v>1151</v>
      </c>
      <c r="P386" s="286" t="s">
        <v>1152</v>
      </c>
      <c r="Q386" s="286" t="s">
        <v>2487</v>
      </c>
      <c r="R386" s="487" t="s">
        <v>5082</v>
      </c>
    </row>
    <row r="387" spans="2:18">
      <c r="B387" s="335" t="str">
        <f t="shared" si="20"/>
        <v>Intermat inserted</v>
      </c>
      <c r="M387" s="328" t="s">
        <v>999</v>
      </c>
      <c r="N387" s="286" t="s">
        <v>999</v>
      </c>
      <c r="O387" s="286" t="s">
        <v>1157</v>
      </c>
      <c r="P387" s="286" t="s">
        <v>2236</v>
      </c>
      <c r="Q387" s="286" t="s">
        <v>2355</v>
      </c>
      <c r="R387" s="487" t="s">
        <v>5084</v>
      </c>
    </row>
    <row r="388" spans="2:18">
      <c r="B388" s="335" t="str">
        <f t="shared" si="20"/>
        <v>screw plate</v>
      </c>
      <c r="M388" s="328" t="s">
        <v>1116</v>
      </c>
      <c r="N388" s="286" t="s">
        <v>1116</v>
      </c>
      <c r="O388" s="286" t="s">
        <v>1166</v>
      </c>
      <c r="P388" s="286" t="s">
        <v>1167</v>
      </c>
      <c r="Q388" s="286" t="s">
        <v>2493</v>
      </c>
      <c r="R388" s="491" t="s">
        <v>5087</v>
      </c>
    </row>
    <row r="389" spans="2:18">
      <c r="B389" s="335" t="str">
        <f t="shared" si="20"/>
        <v>plate for Euro-screw fixing</v>
      </c>
      <c r="M389" s="328" t="s">
        <v>1001</v>
      </c>
      <c r="N389" s="286" t="s">
        <v>1001</v>
      </c>
      <c r="O389" s="286" t="s">
        <v>1168</v>
      </c>
      <c r="P389" s="286" t="s">
        <v>1169</v>
      </c>
      <c r="Q389" s="286" t="s">
        <v>2494</v>
      </c>
      <c r="R389" s="491" t="s">
        <v>5088</v>
      </c>
    </row>
    <row r="390" spans="2:18">
      <c r="B390" s="335" t="str">
        <f t="shared" si="20"/>
        <v>spacer plate</v>
      </c>
      <c r="M390" s="328" t="s">
        <v>1002</v>
      </c>
      <c r="N390" s="286" t="s">
        <v>1170</v>
      </c>
      <c r="O390" s="286" t="s">
        <v>1171</v>
      </c>
      <c r="P390" s="286" t="s">
        <v>1172</v>
      </c>
      <c r="Q390" s="286" t="s">
        <v>2495</v>
      </c>
      <c r="R390" s="491" t="s">
        <v>5089</v>
      </c>
    </row>
    <row r="391" spans="2:18">
      <c r="B391" s="335" t="str">
        <f t="shared" si="20"/>
        <v>Overlay clip hinge</v>
      </c>
      <c r="M391" s="328" t="s">
        <v>1117</v>
      </c>
      <c r="N391" s="286" t="s">
        <v>94</v>
      </c>
      <c r="O391" s="286" t="s">
        <v>448</v>
      </c>
      <c r="P391" s="286" t="s">
        <v>524</v>
      </c>
      <c r="Q391" s="286" t="s">
        <v>2416</v>
      </c>
      <c r="R391" s="487" t="s">
        <v>4948</v>
      </c>
    </row>
    <row r="392" spans="2:18">
      <c r="B392" s="335" t="str">
        <f t="shared" si="20"/>
        <v>Half-overlay clip hinge</v>
      </c>
      <c r="M392" s="328" t="s">
        <v>1118</v>
      </c>
      <c r="N392" s="286" t="s">
        <v>95</v>
      </c>
      <c r="O392" s="286" t="s">
        <v>449</v>
      </c>
      <c r="P392" s="286" t="s">
        <v>2208</v>
      </c>
      <c r="Q392" s="286" t="s">
        <v>2417</v>
      </c>
      <c r="R392" s="487" t="s">
        <v>4949</v>
      </c>
    </row>
    <row r="393" spans="2:18">
      <c r="B393" s="335" t="str">
        <f t="shared" si="20"/>
        <v>Inset clip hinge</v>
      </c>
      <c r="M393" s="328" t="s">
        <v>96</v>
      </c>
      <c r="N393" s="286" t="s">
        <v>96</v>
      </c>
      <c r="O393" s="286" t="s">
        <v>450</v>
      </c>
      <c r="P393" s="286" t="s">
        <v>2209</v>
      </c>
      <c r="Q393" s="286" t="s">
        <v>2418</v>
      </c>
      <c r="R393" s="487" t="s">
        <v>4950</v>
      </c>
    </row>
    <row r="394" spans="2:18">
      <c r="B394" s="335" t="str">
        <f t="shared" si="20"/>
        <v>Overlay with 110° soft-closing clip-on</v>
      </c>
      <c r="M394" s="328" t="s">
        <v>1005</v>
      </c>
      <c r="N394" s="286" t="s">
        <v>1173</v>
      </c>
      <c r="O394" s="286" t="s">
        <v>1174</v>
      </c>
      <c r="P394" s="286" t="s">
        <v>1420</v>
      </c>
      <c r="Q394" s="286" t="s">
        <v>2496</v>
      </c>
      <c r="R394" s="487" t="s">
        <v>5090</v>
      </c>
    </row>
    <row r="395" spans="2:18">
      <c r="B395" s="335" t="str">
        <f t="shared" si="20"/>
        <v>half-Overlay with 110° soft-closing clip-on</v>
      </c>
      <c r="M395" s="328" t="s">
        <v>1006</v>
      </c>
      <c r="N395" s="286" t="s">
        <v>1175</v>
      </c>
      <c r="O395" s="286" t="s">
        <v>1176</v>
      </c>
      <c r="P395" s="286" t="s">
        <v>2238</v>
      </c>
      <c r="Q395" s="286" t="s">
        <v>2497</v>
      </c>
      <c r="R395" s="487" t="s">
        <v>5091</v>
      </c>
    </row>
    <row r="396" spans="2:18">
      <c r="B396" s="335" t="str">
        <f t="shared" si="20"/>
        <v>Inset with 110° soft-closing clip-on</v>
      </c>
      <c r="M396" s="328" t="s">
        <v>1007</v>
      </c>
      <c r="N396" s="286" t="s">
        <v>1177</v>
      </c>
      <c r="O396" s="286" t="s">
        <v>1178</v>
      </c>
      <c r="P396" s="286" t="s">
        <v>2239</v>
      </c>
      <c r="Q396" s="286" t="s">
        <v>2498</v>
      </c>
      <c r="R396" s="487" t="s">
        <v>5092</v>
      </c>
    </row>
    <row r="397" spans="2:18">
      <c r="B397" s="335" t="str">
        <f t="shared" si="20"/>
        <v>Overlay without soft-closing clip-on 110°</v>
      </c>
      <c r="M397" s="328" t="s">
        <v>1008</v>
      </c>
      <c r="N397" s="286" t="s">
        <v>1179</v>
      </c>
      <c r="O397" s="286" t="s">
        <v>1180</v>
      </c>
      <c r="P397" s="286" t="s">
        <v>1422</v>
      </c>
      <c r="Q397" s="286" t="s">
        <v>2499</v>
      </c>
      <c r="R397" s="487" t="s">
        <v>5093</v>
      </c>
    </row>
    <row r="398" spans="2:18">
      <c r="B398" s="335" t="str">
        <f t="shared" si="20"/>
        <v>half-Overlay without soft-closing clip-on 110°</v>
      </c>
      <c r="M398" s="328" t="s">
        <v>1009</v>
      </c>
      <c r="N398" s="286" t="s">
        <v>1181</v>
      </c>
      <c r="O398" s="286" t="s">
        <v>1182</v>
      </c>
      <c r="P398" s="286" t="s">
        <v>2240</v>
      </c>
      <c r="Q398" s="286" t="s">
        <v>2500</v>
      </c>
      <c r="R398" s="487" t="s">
        <v>5094</v>
      </c>
    </row>
    <row r="399" spans="2:18">
      <c r="B399" s="335" t="str">
        <f t="shared" si="20"/>
        <v>inserted without clip-on mute 110°</v>
      </c>
      <c r="M399" s="328" t="s">
        <v>1010</v>
      </c>
      <c r="N399" s="286" t="s">
        <v>1183</v>
      </c>
      <c r="O399" s="286" t="s">
        <v>1184</v>
      </c>
      <c r="P399" s="286" t="s">
        <v>1443</v>
      </c>
      <c r="Q399" s="286" t="s">
        <v>2501</v>
      </c>
      <c r="R399" s="487" t="s">
        <v>5095</v>
      </c>
    </row>
    <row r="400" spans="2:18">
      <c r="B400" s="335" t="str">
        <f t="shared" si="20"/>
        <v>Overlay TIP-ON clip-on 110°</v>
      </c>
      <c r="M400" s="328" t="s">
        <v>1011</v>
      </c>
      <c r="N400" s="286" t="s">
        <v>1011</v>
      </c>
      <c r="O400" s="286" t="s">
        <v>1185</v>
      </c>
      <c r="P400" s="286" t="s">
        <v>1424</v>
      </c>
      <c r="Q400" s="286" t="s">
        <v>2502</v>
      </c>
      <c r="R400" s="487" t="s">
        <v>5096</v>
      </c>
    </row>
    <row r="401" spans="2:18">
      <c r="B401" s="335" t="str">
        <f t="shared" si="20"/>
        <v>half-Overlay TIP-ON clip-on 110°</v>
      </c>
      <c r="M401" s="328" t="s">
        <v>1012</v>
      </c>
      <c r="N401" s="286" t="s">
        <v>1012</v>
      </c>
      <c r="O401" s="286" t="s">
        <v>1186</v>
      </c>
      <c r="P401" s="286" t="s">
        <v>2241</v>
      </c>
      <c r="Q401" s="286" t="s">
        <v>2503</v>
      </c>
      <c r="R401" s="487" t="s">
        <v>5097</v>
      </c>
    </row>
    <row r="402" spans="2:18">
      <c r="B402" s="335" t="str">
        <f t="shared" si="20"/>
        <v>Inset TIP-ON clip-on 110°</v>
      </c>
      <c r="M402" s="328" t="s">
        <v>1013</v>
      </c>
      <c r="N402" s="286" t="s">
        <v>1013</v>
      </c>
      <c r="O402" s="286" t="s">
        <v>1187</v>
      </c>
      <c r="P402" s="286" t="s">
        <v>2242</v>
      </c>
      <c r="Q402" s="286" t="s">
        <v>2504</v>
      </c>
      <c r="R402" s="487" t="s">
        <v>5098</v>
      </c>
    </row>
    <row r="403" spans="2:18">
      <c r="B403" s="335" t="str">
        <f t="shared" si="20"/>
        <v>Overlay clip hinge</v>
      </c>
      <c r="M403" s="328" t="s">
        <v>1117</v>
      </c>
      <c r="N403" s="286" t="s">
        <v>94</v>
      </c>
      <c r="O403" s="286" t="s">
        <v>448</v>
      </c>
      <c r="P403" s="286" t="s">
        <v>524</v>
      </c>
      <c r="Q403" s="286" t="s">
        <v>2416</v>
      </c>
      <c r="R403" s="487" t="s">
        <v>4948</v>
      </c>
    </row>
    <row r="404" spans="2:18">
      <c r="B404" s="335" t="str">
        <f t="shared" si="20"/>
        <v>Half-overlay clip hinge</v>
      </c>
      <c r="M404" s="328" t="s">
        <v>1118</v>
      </c>
      <c r="N404" s="286" t="s">
        <v>95</v>
      </c>
      <c r="O404" s="286" t="s">
        <v>449</v>
      </c>
      <c r="P404" s="286" t="s">
        <v>2208</v>
      </c>
      <c r="Q404" s="286" t="s">
        <v>2417</v>
      </c>
      <c r="R404" s="487" t="s">
        <v>4949</v>
      </c>
    </row>
    <row r="405" spans="2:18">
      <c r="B405" s="335" t="str">
        <f t="shared" si="20"/>
        <v>Inset clip hinge</v>
      </c>
      <c r="M405" s="328" t="s">
        <v>96</v>
      </c>
      <c r="N405" s="286" t="s">
        <v>96</v>
      </c>
      <c r="O405" s="286" t="s">
        <v>450</v>
      </c>
      <c r="P405" s="286" t="s">
        <v>2209</v>
      </c>
      <c r="Q405" s="286" t="s">
        <v>2418</v>
      </c>
      <c r="R405" s="487" t="s">
        <v>4950</v>
      </c>
    </row>
    <row r="406" spans="2:18">
      <c r="B406" s="335" t="str">
        <f t="shared" si="20"/>
        <v>Overlay with 95° soft-closing clip-on</v>
      </c>
      <c r="M406" s="328" t="s">
        <v>1014</v>
      </c>
      <c r="N406" s="286" t="s">
        <v>1188</v>
      </c>
      <c r="O406" s="286" t="s">
        <v>1189</v>
      </c>
      <c r="P406" s="286" t="s">
        <v>1426</v>
      </c>
      <c r="Q406" s="286" t="s">
        <v>2505</v>
      </c>
      <c r="R406" s="487" t="s">
        <v>5099</v>
      </c>
    </row>
    <row r="407" spans="2:18">
      <c r="B407" s="335" t="str">
        <f t="shared" si="20"/>
        <v>half-Overlay with 95° soft-closing clip-on</v>
      </c>
      <c r="M407" s="328" t="s">
        <v>1015</v>
      </c>
      <c r="N407" s="286" t="s">
        <v>1190</v>
      </c>
      <c r="O407" s="286" t="s">
        <v>1191</v>
      </c>
      <c r="P407" s="286" t="s">
        <v>2243</v>
      </c>
      <c r="Q407" s="286" t="s">
        <v>2506</v>
      </c>
      <c r="R407" s="487" t="s">
        <v>5100</v>
      </c>
    </row>
    <row r="408" spans="2:18">
      <c r="B408" s="335" t="str">
        <f t="shared" si="20"/>
        <v>inset with 95°clip-on soft-closing</v>
      </c>
      <c r="M408" s="328" t="s">
        <v>1016</v>
      </c>
      <c r="N408" s="286" t="s">
        <v>1192</v>
      </c>
      <c r="O408" s="286" t="s">
        <v>1193</v>
      </c>
      <c r="P408" s="286" t="s">
        <v>2244</v>
      </c>
      <c r="Q408" s="286" t="s">
        <v>2507</v>
      </c>
      <c r="R408" s="487" t="s">
        <v>5101</v>
      </c>
    </row>
    <row r="409" spans="2:18">
      <c r="B409" s="335" t="str">
        <f t="shared" si="20"/>
        <v>Overlay TIP-ON clip-on 95°</v>
      </c>
      <c r="M409" s="328" t="s">
        <v>1017</v>
      </c>
      <c r="N409" s="286" t="s">
        <v>1017</v>
      </c>
      <c r="O409" s="286" t="s">
        <v>1194</v>
      </c>
      <c r="P409" s="286" t="s">
        <v>1428</v>
      </c>
      <c r="Q409" s="286" t="s">
        <v>2508</v>
      </c>
      <c r="R409" s="487" t="s">
        <v>5102</v>
      </c>
    </row>
    <row r="410" spans="2:18">
      <c r="B410" s="335" t="str">
        <f t="shared" si="20"/>
        <v>Overlay TIP-ON clip-on 120°</v>
      </c>
      <c r="M410" s="328" t="s">
        <v>1018</v>
      </c>
      <c r="N410" s="286" t="s">
        <v>1018</v>
      </c>
      <c r="O410" s="286" t="s">
        <v>1195</v>
      </c>
      <c r="P410" s="286" t="s">
        <v>1429</v>
      </c>
      <c r="Q410" s="286" t="s">
        <v>2509</v>
      </c>
      <c r="R410" s="487" t="s">
        <v>5103</v>
      </c>
    </row>
    <row r="411" spans="2:18">
      <c r="B411" s="335" t="str">
        <f t="shared" si="20"/>
        <v>Clip-on for Euro-screw fixing</v>
      </c>
      <c r="M411" s="328" t="s">
        <v>181</v>
      </c>
      <c r="N411" s="286" t="s">
        <v>404</v>
      </c>
      <c r="O411" s="286" t="s">
        <v>470</v>
      </c>
      <c r="P411" s="286" t="s">
        <v>546</v>
      </c>
      <c r="Q411" s="286" t="s">
        <v>2438</v>
      </c>
      <c r="R411" s="487" t="s">
        <v>5104</v>
      </c>
    </row>
    <row r="412" spans="2:18">
      <c r="B412" s="335" t="str">
        <f t="shared" si="20"/>
        <v>Clip-on for screw fixing</v>
      </c>
      <c r="M412" s="328" t="s">
        <v>180</v>
      </c>
      <c r="N412" s="286" t="s">
        <v>405</v>
      </c>
      <c r="O412" s="286" t="s">
        <v>471</v>
      </c>
      <c r="P412" s="286" t="s">
        <v>547</v>
      </c>
      <c r="Q412" s="286" t="s">
        <v>2439</v>
      </c>
      <c r="R412" s="487" t="s">
        <v>4972</v>
      </c>
    </row>
    <row r="413" spans="2:18">
      <c r="B413" s="335" t="str">
        <f t="shared" si="20"/>
        <v>Increased by 6 mm</v>
      </c>
      <c r="M413" s="328" t="s">
        <v>182</v>
      </c>
      <c r="N413" s="286" t="s">
        <v>406</v>
      </c>
      <c r="O413" s="286" t="s">
        <v>2269</v>
      </c>
      <c r="P413" s="286" t="s">
        <v>548</v>
      </c>
      <c r="Q413" s="286" t="s">
        <v>1680</v>
      </c>
      <c r="R413" s="487" t="s">
        <v>5105</v>
      </c>
    </row>
    <row r="414" spans="2:18">
      <c r="B414" s="335" t="str">
        <f t="shared" si="20"/>
        <v>Overlay Slide-on</v>
      </c>
      <c r="M414" s="286" t="s">
        <v>1105</v>
      </c>
      <c r="N414" s="286" t="s">
        <v>1196</v>
      </c>
      <c r="O414" s="286" t="s">
        <v>1197</v>
      </c>
      <c r="P414" s="286" t="s">
        <v>2245</v>
      </c>
      <c r="Q414" s="286" t="s">
        <v>2510</v>
      </c>
      <c r="R414" s="487" t="s">
        <v>5106</v>
      </c>
    </row>
    <row r="415" spans="2:18">
      <c r="B415" s="335" t="str">
        <f t="shared" si="20"/>
        <v>Half-overlay Slide-on</v>
      </c>
      <c r="M415" s="286" t="s">
        <v>1106</v>
      </c>
      <c r="N415" s="286" t="s">
        <v>1199</v>
      </c>
      <c r="O415" s="286" t="s">
        <v>1200</v>
      </c>
      <c r="P415" s="286" t="s">
        <v>2246</v>
      </c>
      <c r="Q415" s="286" t="s">
        <v>2511</v>
      </c>
      <c r="R415" s="487" t="s">
        <v>5107</v>
      </c>
    </row>
    <row r="416" spans="2:18">
      <c r="B416" s="335" t="str">
        <f t="shared" si="20"/>
        <v>Inset Slide-on</v>
      </c>
      <c r="M416" s="286" t="s">
        <v>1107</v>
      </c>
      <c r="N416" s="286" t="s">
        <v>1202</v>
      </c>
      <c r="O416" s="286" t="s">
        <v>1203</v>
      </c>
      <c r="P416" s="286" t="s">
        <v>2247</v>
      </c>
      <c r="Q416" s="286" t="s">
        <v>2512</v>
      </c>
      <c r="R416" s="487" t="s">
        <v>5108</v>
      </c>
    </row>
    <row r="417" spans="2:18">
      <c r="B417" s="335" t="str">
        <f t="shared" si="20"/>
        <v>STRONG 30N white Automatic</v>
      </c>
      <c r="M417" s="286" t="s">
        <v>1023</v>
      </c>
      <c r="N417" s="286" t="s">
        <v>1205</v>
      </c>
      <c r="O417" s="286" t="s">
        <v>1206</v>
      </c>
      <c r="P417" s="286" t="s">
        <v>1207</v>
      </c>
      <c r="Q417" s="286" t="s">
        <v>1807</v>
      </c>
      <c r="R417" t="s">
        <v>5109</v>
      </c>
    </row>
    <row r="418" spans="2:18">
      <c r="B418" s="335" t="str">
        <f t="shared" si="20"/>
        <v>STRONG 60N white Automatic</v>
      </c>
      <c r="M418" s="286" t="s">
        <v>1025</v>
      </c>
      <c r="N418" s="286" t="s">
        <v>1208</v>
      </c>
      <c r="O418" s="286" t="s">
        <v>1209</v>
      </c>
      <c r="P418" s="286" t="s">
        <v>1210</v>
      </c>
      <c r="Q418" s="286" t="s">
        <v>1808</v>
      </c>
      <c r="R418" t="s">
        <v>5110</v>
      </c>
    </row>
    <row r="419" spans="2:18">
      <c r="B419" s="335" t="str">
        <f t="shared" si="20"/>
        <v>STRONG 80N white Automatic</v>
      </c>
      <c r="M419" s="286" t="s">
        <v>1027</v>
      </c>
      <c r="N419" s="286" t="s">
        <v>1211</v>
      </c>
      <c r="O419" s="286" t="s">
        <v>1212</v>
      </c>
      <c r="P419" s="286" t="s">
        <v>1213</v>
      </c>
      <c r="Q419" s="286" t="s">
        <v>1809</v>
      </c>
      <c r="R419" t="s">
        <v>5111</v>
      </c>
    </row>
    <row r="420" spans="2:18">
      <c r="B420" s="335" t="str">
        <f t="shared" si="20"/>
        <v>STRONG 100N white Automatic</v>
      </c>
      <c r="M420" s="286" t="s">
        <v>1029</v>
      </c>
      <c r="N420" s="286" t="s">
        <v>1214</v>
      </c>
      <c r="O420" s="286" t="s">
        <v>1215</v>
      </c>
      <c r="P420" s="286" t="s">
        <v>1216</v>
      </c>
      <c r="Q420" s="286" t="s">
        <v>1810</v>
      </c>
      <c r="R420" t="s">
        <v>5112</v>
      </c>
    </row>
    <row r="421" spans="2:18">
      <c r="B421" s="335" t="str">
        <f t="shared" si="20"/>
        <v>STRONG 120N white Automatic</v>
      </c>
      <c r="M421" s="286" t="s">
        <v>1031</v>
      </c>
      <c r="N421" s="286" t="s">
        <v>1217</v>
      </c>
      <c r="O421" s="286" t="s">
        <v>1218</v>
      </c>
      <c r="P421" s="286" t="s">
        <v>1219</v>
      </c>
      <c r="Q421" s="286" t="s">
        <v>1811</v>
      </c>
      <c r="R421" t="s">
        <v>5113</v>
      </c>
    </row>
    <row r="422" spans="2:18">
      <c r="B422" s="335" t="str">
        <f t="shared" si="20"/>
        <v>STRONG 60N white Free-stop</v>
      </c>
      <c r="M422" s="286" t="s">
        <v>1033</v>
      </c>
      <c r="N422" s="286" t="s">
        <v>1220</v>
      </c>
      <c r="O422" s="286" t="s">
        <v>1221</v>
      </c>
      <c r="P422" s="286" t="s">
        <v>1222</v>
      </c>
      <c r="Q422" s="286" t="s">
        <v>2513</v>
      </c>
      <c r="R422" t="s">
        <v>5114</v>
      </c>
    </row>
    <row r="423" spans="2:18">
      <c r="B423" s="335" t="str">
        <f t="shared" si="20"/>
        <v>STRONG 80N white Free-stop</v>
      </c>
      <c r="M423" s="286" t="s">
        <v>1035</v>
      </c>
      <c r="N423" s="286" t="s">
        <v>1223</v>
      </c>
      <c r="O423" s="286" t="s">
        <v>1224</v>
      </c>
      <c r="P423" s="286" t="s">
        <v>1225</v>
      </c>
      <c r="Q423" s="286" t="s">
        <v>2514</v>
      </c>
      <c r="R423" t="s">
        <v>5115</v>
      </c>
    </row>
    <row r="424" spans="2:18">
      <c r="B424" s="335" t="str">
        <f t="shared" si="20"/>
        <v>STRONG 100N white Free-stop</v>
      </c>
      <c r="M424" s="286" t="s">
        <v>1037</v>
      </c>
      <c r="N424" s="286" t="s">
        <v>1226</v>
      </c>
      <c r="O424" s="286" t="s">
        <v>1227</v>
      </c>
      <c r="P424" s="286" t="s">
        <v>1228</v>
      </c>
      <c r="Q424" s="286" t="s">
        <v>2515</v>
      </c>
      <c r="R424" t="s">
        <v>5116</v>
      </c>
    </row>
    <row r="425" spans="2:18">
      <c r="B425" s="335" t="str">
        <f t="shared" si="20"/>
        <v>STRONG 120N white Free-stop</v>
      </c>
      <c r="M425" s="286" t="s">
        <v>1039</v>
      </c>
      <c r="N425" s="286" t="s">
        <v>1229</v>
      </c>
      <c r="O425" s="286" t="s">
        <v>1230</v>
      </c>
      <c r="P425" s="286" t="s">
        <v>1231</v>
      </c>
      <c r="Q425" s="286" t="s">
        <v>2516</v>
      </c>
      <c r="R425" t="s">
        <v>5117</v>
      </c>
    </row>
    <row r="426" spans="2:18">
      <c r="B426" s="335" t="str">
        <f t="shared" ref="B426:B489" si="21">IF($D$1=1,M426,IF($D$1=2,N426,IF($D$1=3,O426,IF($D$1=4,P426,IF($D$1=5,Q426,IF($D$1=6,R426,0))))))</f>
        <v>STRONG 30N Gray Automatic</v>
      </c>
      <c r="M426" s="286" t="s">
        <v>1041</v>
      </c>
      <c r="N426" s="286" t="s">
        <v>1041</v>
      </c>
      <c r="O426" s="286" t="s">
        <v>1232</v>
      </c>
      <c r="P426" s="286" t="s">
        <v>1233</v>
      </c>
      <c r="Q426" s="286" t="s">
        <v>2356</v>
      </c>
      <c r="R426" s="487" t="s">
        <v>5118</v>
      </c>
    </row>
    <row r="427" spans="2:18">
      <c r="B427" s="335" t="str">
        <f t="shared" si="21"/>
        <v>STRONG 60N grey Automatic</v>
      </c>
      <c r="M427" s="286" t="s">
        <v>1043</v>
      </c>
      <c r="N427" s="286" t="s">
        <v>1043</v>
      </c>
      <c r="O427" s="286" t="s">
        <v>1234</v>
      </c>
      <c r="P427" s="286" t="s">
        <v>1235</v>
      </c>
      <c r="Q427" s="286" t="s">
        <v>1817</v>
      </c>
      <c r="R427" s="487" t="s">
        <v>5119</v>
      </c>
    </row>
    <row r="428" spans="2:18">
      <c r="B428" s="335" t="str">
        <f t="shared" si="21"/>
        <v>STRONG 80N Gray Automatic</v>
      </c>
      <c r="M428" s="286" t="s">
        <v>1045</v>
      </c>
      <c r="N428" s="286" t="s">
        <v>1045</v>
      </c>
      <c r="O428" s="286" t="s">
        <v>1236</v>
      </c>
      <c r="P428" s="286" t="s">
        <v>1237</v>
      </c>
      <c r="Q428" s="286" t="s">
        <v>2357</v>
      </c>
      <c r="R428" s="487" t="s">
        <v>5120</v>
      </c>
    </row>
    <row r="429" spans="2:18">
      <c r="B429" s="335" t="str">
        <f t="shared" si="21"/>
        <v>STRONG 100N grey Automatic</v>
      </c>
      <c r="M429" s="286" t="s">
        <v>1047</v>
      </c>
      <c r="N429" s="286" t="s">
        <v>1047</v>
      </c>
      <c r="O429" s="286" t="s">
        <v>1238</v>
      </c>
      <c r="P429" s="286" t="s">
        <v>1239</v>
      </c>
      <c r="Q429" s="286" t="s">
        <v>1819</v>
      </c>
      <c r="R429" s="487" t="s">
        <v>5121</v>
      </c>
    </row>
    <row r="430" spans="2:18">
      <c r="B430" s="335" t="str">
        <f t="shared" si="21"/>
        <v>STRONG 120N grey Automatic</v>
      </c>
      <c r="M430" s="286" t="s">
        <v>1049</v>
      </c>
      <c r="N430" s="286" t="s">
        <v>1049</v>
      </c>
      <c r="O430" s="286" t="s">
        <v>1240</v>
      </c>
      <c r="P430" s="286" t="s">
        <v>1241</v>
      </c>
      <c r="Q430" s="286" t="s">
        <v>1820</v>
      </c>
      <c r="R430" s="487" t="s">
        <v>5122</v>
      </c>
    </row>
    <row r="431" spans="2:18">
      <c r="B431" s="335" t="str">
        <f t="shared" si="21"/>
        <v>STRONG 60N grey Free-stop</v>
      </c>
      <c r="M431" s="286" t="s">
        <v>1051</v>
      </c>
      <c r="N431" s="286" t="s">
        <v>1051</v>
      </c>
      <c r="O431" s="286" t="s">
        <v>1242</v>
      </c>
      <c r="P431" s="286" t="s">
        <v>1243</v>
      </c>
      <c r="Q431" s="286" t="s">
        <v>2517</v>
      </c>
      <c r="R431" s="487" t="s">
        <v>5123</v>
      </c>
    </row>
    <row r="432" spans="2:18">
      <c r="B432" s="335" t="str">
        <f t="shared" si="21"/>
        <v>STRONG 80N grey Free-stop</v>
      </c>
      <c r="M432" s="286" t="s">
        <v>1053</v>
      </c>
      <c r="N432" s="286" t="s">
        <v>1053</v>
      </c>
      <c r="O432" s="286" t="s">
        <v>1244</v>
      </c>
      <c r="P432" s="286" t="s">
        <v>1245</v>
      </c>
      <c r="Q432" s="286" t="s">
        <v>2518</v>
      </c>
      <c r="R432" s="487" t="s">
        <v>5124</v>
      </c>
    </row>
    <row r="433" spans="2:18">
      <c r="B433" s="335" t="str">
        <f t="shared" si="21"/>
        <v>STRONG 100N grey Free-stop</v>
      </c>
      <c r="M433" s="286" t="s">
        <v>1055</v>
      </c>
      <c r="N433" s="286" t="s">
        <v>1055</v>
      </c>
      <c r="O433" s="286" t="s">
        <v>1246</v>
      </c>
      <c r="P433" s="286" t="s">
        <v>1247</v>
      </c>
      <c r="Q433" s="286" t="s">
        <v>2519</v>
      </c>
      <c r="R433" s="487" t="s">
        <v>5125</v>
      </c>
    </row>
    <row r="434" spans="2:18">
      <c r="B434" s="335" t="str">
        <f t="shared" si="21"/>
        <v>STRONG 120N Gray Positioning</v>
      </c>
      <c r="M434" s="286" t="s">
        <v>1057</v>
      </c>
      <c r="N434" s="286" t="s">
        <v>1057</v>
      </c>
      <c r="O434" s="286" t="s">
        <v>1248</v>
      </c>
      <c r="P434" s="286" t="s">
        <v>1249</v>
      </c>
      <c r="Q434" s="286" t="s">
        <v>2358</v>
      </c>
      <c r="R434" s="487" t="s">
        <v>5126</v>
      </c>
    </row>
    <row r="435" spans="2:18">
      <c r="B435" s="335" t="str">
        <f t="shared" si="21"/>
        <v>HUWIL DUO</v>
      </c>
      <c r="M435" s="286" t="s">
        <v>1059</v>
      </c>
      <c r="N435" s="286" t="s">
        <v>1059</v>
      </c>
      <c r="O435" s="286" t="s">
        <v>1059</v>
      </c>
      <c r="P435" s="286" t="s">
        <v>1059</v>
      </c>
      <c r="Q435" s="286" t="s">
        <v>1059</v>
      </c>
      <c r="R435" s="286" t="s">
        <v>1059</v>
      </c>
    </row>
    <row r="436" spans="2:18">
      <c r="B436" s="335" t="str">
        <f t="shared" si="21"/>
        <v>HUWIL DUO FORTE</v>
      </c>
      <c r="M436" s="286" t="s">
        <v>1061</v>
      </c>
      <c r="N436" s="286" t="s">
        <v>1061</v>
      </c>
      <c r="O436" s="286" t="s">
        <v>1061</v>
      </c>
      <c r="P436" s="286" t="s">
        <v>1061</v>
      </c>
      <c r="Q436" s="286" t="s">
        <v>1061</v>
      </c>
      <c r="R436" s="286" t="s">
        <v>1061</v>
      </c>
    </row>
    <row r="437" spans="2:18">
      <c r="B437" s="335" t="str">
        <f t="shared" si="21"/>
        <v>HUWILIFT MAXI</v>
      </c>
      <c r="M437" s="286" t="s">
        <v>1063</v>
      </c>
      <c r="N437" s="286" t="s">
        <v>1063</v>
      </c>
      <c r="O437" s="286" t="s">
        <v>1063</v>
      </c>
      <c r="P437" s="286" t="s">
        <v>1063</v>
      </c>
      <c r="Q437" s="286" t="s">
        <v>1063</v>
      </c>
      <c r="R437" s="286" t="s">
        <v>1063</v>
      </c>
    </row>
    <row r="438" spans="2:18">
      <c r="B438" s="335" t="str">
        <f t="shared" si="21"/>
        <v>KRABY 164 45N</v>
      </c>
      <c r="M438" s="286" t="s">
        <v>714</v>
      </c>
      <c r="N438" s="286" t="s">
        <v>714</v>
      </c>
      <c r="O438" s="286" t="s">
        <v>714</v>
      </c>
      <c r="P438" s="286" t="s">
        <v>714</v>
      </c>
      <c r="Q438" s="286" t="s">
        <v>714</v>
      </c>
      <c r="R438" s="286" t="s">
        <v>714</v>
      </c>
    </row>
    <row r="439" spans="2:18">
      <c r="B439" s="335" t="str">
        <f t="shared" si="21"/>
        <v>KRABY 164 60N</v>
      </c>
      <c r="M439" s="286" t="s">
        <v>715</v>
      </c>
      <c r="N439" s="286" t="s">
        <v>715</v>
      </c>
      <c r="O439" s="286" t="s">
        <v>715</v>
      </c>
      <c r="P439" s="286" t="s">
        <v>715</v>
      </c>
      <c r="Q439" s="286" t="s">
        <v>715</v>
      </c>
      <c r="R439" s="286" t="s">
        <v>715</v>
      </c>
    </row>
    <row r="440" spans="2:18">
      <c r="B440" s="335" t="str">
        <f t="shared" si="21"/>
        <v>KRABY 244 45N</v>
      </c>
      <c r="M440" s="286" t="s">
        <v>716</v>
      </c>
      <c r="N440" s="286" t="s">
        <v>716</v>
      </c>
      <c r="O440" s="286" t="s">
        <v>716</v>
      </c>
      <c r="P440" s="286" t="s">
        <v>716</v>
      </c>
      <c r="Q440" s="286" t="s">
        <v>716</v>
      </c>
      <c r="R440" s="286" t="s">
        <v>716</v>
      </c>
    </row>
    <row r="441" spans="2:18">
      <c r="B441" s="335" t="str">
        <f t="shared" si="21"/>
        <v>KRABY 244 60N</v>
      </c>
      <c r="M441" s="286" t="s">
        <v>717</v>
      </c>
      <c r="N441" s="286" t="s">
        <v>717</v>
      </c>
      <c r="O441" s="286" t="s">
        <v>717</v>
      </c>
      <c r="P441" s="286" t="s">
        <v>717</v>
      </c>
      <c r="Q441" s="286" t="s">
        <v>717</v>
      </c>
      <c r="R441" s="286" t="s">
        <v>717</v>
      </c>
    </row>
    <row r="442" spans="2:18">
      <c r="B442" s="335" t="str">
        <f t="shared" si="21"/>
        <v>KRABY 244 90N</v>
      </c>
      <c r="M442" s="286" t="s">
        <v>718</v>
      </c>
      <c r="N442" s="286" t="s">
        <v>718</v>
      </c>
      <c r="O442" s="286" t="s">
        <v>718</v>
      </c>
      <c r="P442" s="286" t="s">
        <v>718</v>
      </c>
      <c r="Q442" s="286" t="s">
        <v>718</v>
      </c>
      <c r="R442" s="286" t="s">
        <v>718</v>
      </c>
    </row>
    <row r="443" spans="2:18">
      <c r="B443" s="335" t="str">
        <f t="shared" si="21"/>
        <v>KRABY 244 120N</v>
      </c>
      <c r="M443" s="286" t="s">
        <v>719</v>
      </c>
      <c r="N443" s="286" t="s">
        <v>719</v>
      </c>
      <c r="O443" s="286" t="s">
        <v>719</v>
      </c>
      <c r="P443" s="286" t="s">
        <v>719</v>
      </c>
      <c r="Q443" s="286" t="s">
        <v>719</v>
      </c>
      <c r="R443" s="286" t="s">
        <v>719</v>
      </c>
    </row>
    <row r="444" spans="2:18">
      <c r="B444" s="335" t="str">
        <f t="shared" si="21"/>
        <v>KRABY 355 45N</v>
      </c>
      <c r="M444" s="286" t="s">
        <v>720</v>
      </c>
      <c r="N444" s="286" t="s">
        <v>720</v>
      </c>
      <c r="O444" s="286" t="s">
        <v>720</v>
      </c>
      <c r="P444" s="286" t="s">
        <v>720</v>
      </c>
      <c r="Q444" s="286" t="s">
        <v>720</v>
      </c>
      <c r="R444" s="286" t="s">
        <v>720</v>
      </c>
    </row>
    <row r="445" spans="2:18">
      <c r="B445" s="335" t="str">
        <f t="shared" si="21"/>
        <v>KRABY 355 60N</v>
      </c>
      <c r="M445" s="286" t="s">
        <v>721</v>
      </c>
      <c r="N445" s="286" t="s">
        <v>721</v>
      </c>
      <c r="O445" s="286" t="s">
        <v>721</v>
      </c>
      <c r="P445" s="286" t="s">
        <v>721</v>
      </c>
      <c r="Q445" s="286" t="s">
        <v>721</v>
      </c>
      <c r="R445" s="286" t="s">
        <v>721</v>
      </c>
    </row>
    <row r="446" spans="2:18">
      <c r="B446" s="335" t="str">
        <f t="shared" si="21"/>
        <v>KRABY 355 90N</v>
      </c>
      <c r="M446" s="286" t="s">
        <v>722</v>
      </c>
      <c r="N446" s="286" t="s">
        <v>722</v>
      </c>
      <c r="O446" s="286" t="s">
        <v>722</v>
      </c>
      <c r="P446" s="286" t="s">
        <v>722</v>
      </c>
      <c r="Q446" s="286" t="s">
        <v>722</v>
      </c>
      <c r="R446" s="286" t="s">
        <v>722</v>
      </c>
    </row>
    <row r="447" spans="2:18">
      <c r="B447" s="335" t="str">
        <f t="shared" si="21"/>
        <v>KRABY 355 120N</v>
      </c>
      <c r="M447" s="286" t="s">
        <v>723</v>
      </c>
      <c r="N447" s="286" t="s">
        <v>723</v>
      </c>
      <c r="O447" s="286" t="s">
        <v>723</v>
      </c>
      <c r="P447" s="286" t="s">
        <v>723</v>
      </c>
      <c r="Q447" s="286" t="s">
        <v>723</v>
      </c>
      <c r="R447" s="286" t="s">
        <v>723</v>
      </c>
    </row>
    <row r="448" spans="2:18">
      <c r="B448" s="335" t="str">
        <f t="shared" si="21"/>
        <v>K12 244 50N</v>
      </c>
      <c r="M448" s="286" t="s">
        <v>1075</v>
      </c>
      <c r="N448" s="286" t="s">
        <v>1075</v>
      </c>
      <c r="O448" s="286" t="s">
        <v>1075</v>
      </c>
      <c r="P448" s="286" t="s">
        <v>1075</v>
      </c>
      <c r="Q448" s="286" t="s">
        <v>1075</v>
      </c>
      <c r="R448" s="286" t="s">
        <v>1075</v>
      </c>
    </row>
    <row r="449" spans="2:18">
      <c r="B449" s="335" t="str">
        <f t="shared" si="21"/>
        <v>K12 244 80N</v>
      </c>
      <c r="M449" s="286" t="s">
        <v>1077</v>
      </c>
      <c r="N449" s="286" t="s">
        <v>1077</v>
      </c>
      <c r="O449" s="286" t="s">
        <v>1077</v>
      </c>
      <c r="P449" s="286" t="s">
        <v>1077</v>
      </c>
      <c r="Q449" s="286" t="s">
        <v>1077</v>
      </c>
      <c r="R449" s="286" t="s">
        <v>1077</v>
      </c>
    </row>
    <row r="450" spans="2:18">
      <c r="B450" s="335" t="str">
        <f t="shared" si="21"/>
        <v>K12 244 100N</v>
      </c>
      <c r="M450" s="286" t="s">
        <v>1079</v>
      </c>
      <c r="N450" s="286" t="s">
        <v>1079</v>
      </c>
      <c r="O450" s="286" t="s">
        <v>1079</v>
      </c>
      <c r="P450" s="286" t="s">
        <v>1079</v>
      </c>
      <c r="Q450" s="286" t="s">
        <v>1079</v>
      </c>
      <c r="R450" s="286" t="s">
        <v>1079</v>
      </c>
    </row>
    <row r="451" spans="2:18">
      <c r="B451" s="335" t="str">
        <f t="shared" si="21"/>
        <v>K12 244 120N</v>
      </c>
      <c r="M451" s="286" t="s">
        <v>1081</v>
      </c>
      <c r="N451" s="286" t="s">
        <v>1081</v>
      </c>
      <c r="O451" s="286" t="s">
        <v>1081</v>
      </c>
      <c r="P451" s="286" t="s">
        <v>1081</v>
      </c>
      <c r="Q451" s="286" t="s">
        <v>1081</v>
      </c>
      <c r="R451" s="286" t="s">
        <v>1081</v>
      </c>
    </row>
    <row r="452" spans="2:18">
      <c r="B452" s="335" t="str">
        <f t="shared" si="21"/>
        <v>K12 355 60N</v>
      </c>
      <c r="M452" s="286" t="s">
        <v>1083</v>
      </c>
      <c r="N452" s="286" t="s">
        <v>1083</v>
      </c>
      <c r="O452" s="286" t="s">
        <v>1083</v>
      </c>
      <c r="P452" s="286" t="s">
        <v>1083</v>
      </c>
      <c r="Q452" s="286" t="s">
        <v>1083</v>
      </c>
      <c r="R452" s="286" t="s">
        <v>1083</v>
      </c>
    </row>
    <row r="453" spans="2:18">
      <c r="B453" s="335" t="str">
        <f t="shared" si="21"/>
        <v>K12 355 90N</v>
      </c>
      <c r="M453" s="286" t="s">
        <v>1085</v>
      </c>
      <c r="N453" s="286" t="s">
        <v>1085</v>
      </c>
      <c r="O453" s="286" t="s">
        <v>1085</v>
      </c>
      <c r="P453" s="286" t="s">
        <v>1085</v>
      </c>
      <c r="Q453" s="286" t="s">
        <v>1085</v>
      </c>
      <c r="R453" s="286" t="s">
        <v>1085</v>
      </c>
    </row>
    <row r="454" spans="2:18">
      <c r="B454" s="335" t="str">
        <f t="shared" si="21"/>
        <v>K12 355 110N</v>
      </c>
      <c r="M454" s="286" t="s">
        <v>1087</v>
      </c>
      <c r="N454" s="286" t="s">
        <v>1087</v>
      </c>
      <c r="O454" s="286" t="s">
        <v>1087</v>
      </c>
      <c r="P454" s="286" t="s">
        <v>1087</v>
      </c>
      <c r="Q454" s="286" t="s">
        <v>1087</v>
      </c>
      <c r="R454" s="286" t="s">
        <v>1087</v>
      </c>
    </row>
    <row r="455" spans="2:18">
      <c r="B455" s="335" t="str">
        <f t="shared" si="21"/>
        <v>K12 355 130N</v>
      </c>
      <c r="M455" s="286" t="s">
        <v>1089</v>
      </c>
      <c r="N455" s="286" t="s">
        <v>1089</v>
      </c>
      <c r="O455" s="286" t="s">
        <v>1089</v>
      </c>
      <c r="P455" s="286" t="s">
        <v>1089</v>
      </c>
      <c r="Q455" s="286" t="s">
        <v>1089</v>
      </c>
      <c r="R455" s="286" t="s">
        <v>1089</v>
      </c>
    </row>
    <row r="456" spans="2:18">
      <c r="B456" s="335" t="str">
        <f t="shared" si="21"/>
        <v>STRONG drop-downwhite</v>
      </c>
      <c r="M456" s="286" t="s">
        <v>1091</v>
      </c>
      <c r="N456" s="286" t="s">
        <v>1250</v>
      </c>
      <c r="O456" s="286" t="s">
        <v>1251</v>
      </c>
      <c r="P456" s="286" t="s">
        <v>1252</v>
      </c>
      <c r="Q456" s="286" t="s">
        <v>2520</v>
      </c>
      <c r="R456" s="487" t="s">
        <v>5328</v>
      </c>
    </row>
    <row r="457" spans="2:18">
      <c r="B457" s="335" t="str">
        <f t="shared" si="21"/>
        <v>STRONG drop-downgrey</v>
      </c>
      <c r="M457" s="286" t="s">
        <v>4325</v>
      </c>
      <c r="N457" s="286" t="s">
        <v>1253</v>
      </c>
      <c r="O457" s="286" t="s">
        <v>1254</v>
      </c>
      <c r="P457" s="286" t="s">
        <v>1255</v>
      </c>
      <c r="Q457" s="286" t="s">
        <v>2521</v>
      </c>
      <c r="R457" s="487" t="s">
        <v>5329</v>
      </c>
    </row>
    <row r="458" spans="2:18">
      <c r="B458" s="335" t="str">
        <f t="shared" si="21"/>
        <v>HUWIL DUO (90°)</v>
      </c>
      <c r="M458" s="286" t="s">
        <v>1095</v>
      </c>
      <c r="N458" s="286" t="s">
        <v>1095</v>
      </c>
      <c r="O458" s="286" t="s">
        <v>1095</v>
      </c>
      <c r="P458" s="286" t="s">
        <v>1095</v>
      </c>
      <c r="Q458" s="286" t="s">
        <v>815</v>
      </c>
      <c r="R458" s="487" t="s">
        <v>815</v>
      </c>
    </row>
    <row r="459" spans="2:18">
      <c r="B459" s="335" t="str">
        <f t="shared" si="21"/>
        <v>HUWIL DUO FORTE</v>
      </c>
      <c r="M459" s="286" t="s">
        <v>1061</v>
      </c>
      <c r="N459" s="286" t="s">
        <v>1061</v>
      </c>
      <c r="O459" s="286" t="s">
        <v>1061</v>
      </c>
      <c r="P459" s="286" t="s">
        <v>1061</v>
      </c>
      <c r="Q459" s="286" t="s">
        <v>1061</v>
      </c>
      <c r="R459" s="487" t="s">
        <v>1061</v>
      </c>
    </row>
    <row r="460" spans="2:18">
      <c r="B460" s="335" t="str">
        <f t="shared" si="21"/>
        <v>CARTON 164 Bottom</v>
      </c>
      <c r="M460" s="286" t="s">
        <v>1098</v>
      </c>
      <c r="N460" s="286" t="s">
        <v>1256</v>
      </c>
      <c r="O460" s="286" t="s">
        <v>1257</v>
      </c>
      <c r="P460" s="286" t="s">
        <v>1258</v>
      </c>
      <c r="Q460" s="286" t="s">
        <v>2359</v>
      </c>
      <c r="R460" s="487" t="s">
        <v>5330</v>
      </c>
    </row>
    <row r="461" spans="2:18">
      <c r="B461" s="335" t="str">
        <f t="shared" si="21"/>
        <v>CARTON 244 Bottom</v>
      </c>
      <c r="M461" s="286" t="s">
        <v>1100</v>
      </c>
      <c r="N461" s="286" t="s">
        <v>1259</v>
      </c>
      <c r="O461" s="286" t="s">
        <v>1260</v>
      </c>
      <c r="P461" s="286" t="s">
        <v>1261</v>
      </c>
      <c r="Q461" s="286" t="s">
        <v>2360</v>
      </c>
      <c r="R461" s="487" t="s">
        <v>5331</v>
      </c>
    </row>
    <row r="462" spans="2:18">
      <c r="B462" s="335" t="str">
        <f t="shared" si="21"/>
        <v>CARTON 355 Bottom</v>
      </c>
      <c r="M462" s="286" t="s">
        <v>1102</v>
      </c>
      <c r="N462" s="286" t="s">
        <v>1262</v>
      </c>
      <c r="O462" s="286" t="s">
        <v>1263</v>
      </c>
      <c r="P462" s="286" t="s">
        <v>1264</v>
      </c>
      <c r="Q462" s="286" t="s">
        <v>2361</v>
      </c>
      <c r="R462" s="487" t="s">
        <v>5332</v>
      </c>
    </row>
    <row r="463" spans="2:18">
      <c r="B463" s="335" t="str">
        <f t="shared" si="21"/>
        <v>STRONG 30N white Automatic</v>
      </c>
      <c r="M463" s="286" t="s">
        <v>1023</v>
      </c>
      <c r="N463" s="286" t="s">
        <v>1205</v>
      </c>
      <c r="O463" s="286" t="s">
        <v>1206</v>
      </c>
      <c r="P463" s="286" t="s">
        <v>1207</v>
      </c>
      <c r="Q463" s="286" t="s">
        <v>1807</v>
      </c>
      <c r="R463" s="487" t="s">
        <v>5109</v>
      </c>
    </row>
    <row r="464" spans="2:18">
      <c r="B464" s="335" t="str">
        <f t="shared" si="21"/>
        <v>STRONG 60N white Automatic</v>
      </c>
      <c r="M464" s="286" t="s">
        <v>1025</v>
      </c>
      <c r="N464" s="286" t="s">
        <v>1208</v>
      </c>
      <c r="O464" s="286" t="s">
        <v>1209</v>
      </c>
      <c r="P464" s="286" t="s">
        <v>1210</v>
      </c>
      <c r="Q464" s="286" t="s">
        <v>1808</v>
      </c>
      <c r="R464" s="487" t="s">
        <v>5110</v>
      </c>
    </row>
    <row r="465" spans="2:18">
      <c r="B465" s="335" t="str">
        <f t="shared" si="21"/>
        <v>STRONG 80N white Automatic</v>
      </c>
      <c r="M465" s="286" t="s">
        <v>1027</v>
      </c>
      <c r="N465" s="286" t="s">
        <v>1211</v>
      </c>
      <c r="O465" s="286" t="s">
        <v>1212</v>
      </c>
      <c r="P465" s="286" t="s">
        <v>1213</v>
      </c>
      <c r="Q465" s="286" t="s">
        <v>1809</v>
      </c>
      <c r="R465" s="487" t="s">
        <v>5111</v>
      </c>
    </row>
    <row r="466" spans="2:18">
      <c r="B466" s="335" t="str">
        <f t="shared" si="21"/>
        <v>STRONG 100N white Automatic</v>
      </c>
      <c r="M466" s="286" t="s">
        <v>1029</v>
      </c>
      <c r="N466" s="286" t="s">
        <v>1214</v>
      </c>
      <c r="O466" s="286" t="s">
        <v>1215</v>
      </c>
      <c r="P466" s="286" t="s">
        <v>1216</v>
      </c>
      <c r="Q466" s="286" t="s">
        <v>1810</v>
      </c>
      <c r="R466" s="487" t="s">
        <v>5112</v>
      </c>
    </row>
    <row r="467" spans="2:18">
      <c r="B467" s="335" t="str">
        <f t="shared" si="21"/>
        <v>STRONG 120N white Automatic</v>
      </c>
      <c r="M467" s="286" t="s">
        <v>1031</v>
      </c>
      <c r="N467" s="286" t="s">
        <v>1217</v>
      </c>
      <c r="O467" s="286" t="s">
        <v>1218</v>
      </c>
      <c r="P467" s="286" t="s">
        <v>1219</v>
      </c>
      <c r="Q467" s="286" t="s">
        <v>1811</v>
      </c>
      <c r="R467" s="487" t="s">
        <v>5113</v>
      </c>
    </row>
    <row r="468" spans="2:18">
      <c r="B468" s="335" t="str">
        <f t="shared" si="21"/>
        <v>STRONG 60N white Free-stop</v>
      </c>
      <c r="M468" s="286" t="s">
        <v>1033</v>
      </c>
      <c r="N468" s="286" t="s">
        <v>1220</v>
      </c>
      <c r="O468" s="286" t="s">
        <v>1221</v>
      </c>
      <c r="P468" s="286" t="s">
        <v>1222</v>
      </c>
      <c r="Q468" s="286" t="s">
        <v>2513</v>
      </c>
      <c r="R468" s="487" t="s">
        <v>5114</v>
      </c>
    </row>
    <row r="469" spans="2:18">
      <c r="B469" s="335" t="str">
        <f t="shared" si="21"/>
        <v>STRONG 80N white Free-stop</v>
      </c>
      <c r="M469" s="286" t="s">
        <v>1035</v>
      </c>
      <c r="N469" s="286" t="s">
        <v>1223</v>
      </c>
      <c r="O469" s="286" t="s">
        <v>1224</v>
      </c>
      <c r="P469" s="286" t="s">
        <v>1225</v>
      </c>
      <c r="Q469" s="286" t="s">
        <v>2514</v>
      </c>
      <c r="R469" s="487" t="s">
        <v>5115</v>
      </c>
    </row>
    <row r="470" spans="2:18">
      <c r="B470" s="335" t="str">
        <f t="shared" si="21"/>
        <v>STRONG 100N white Free-stop</v>
      </c>
      <c r="M470" s="286" t="s">
        <v>1037</v>
      </c>
      <c r="N470" s="286" t="s">
        <v>1226</v>
      </c>
      <c r="O470" s="286" t="s">
        <v>1227</v>
      </c>
      <c r="P470" s="286" t="s">
        <v>1228</v>
      </c>
      <c r="Q470" s="286" t="s">
        <v>2515</v>
      </c>
      <c r="R470" s="487" t="s">
        <v>5116</v>
      </c>
    </row>
    <row r="471" spans="2:18">
      <c r="B471" s="335" t="str">
        <f t="shared" si="21"/>
        <v>STRONG 120N white Free-stop</v>
      </c>
      <c r="M471" s="286" t="s">
        <v>1039</v>
      </c>
      <c r="N471" s="286" t="s">
        <v>1229</v>
      </c>
      <c r="O471" s="286" t="s">
        <v>1230</v>
      </c>
      <c r="P471" s="286" t="s">
        <v>1231</v>
      </c>
      <c r="Q471" s="286" t="s">
        <v>2516</v>
      </c>
      <c r="R471" s="487" t="s">
        <v>5117</v>
      </c>
    </row>
    <row r="472" spans="2:18">
      <c r="B472" s="335" t="str">
        <f t="shared" si="21"/>
        <v>STRONG 30N Gray Automatic</v>
      </c>
      <c r="M472" s="286" t="s">
        <v>1041</v>
      </c>
      <c r="N472" s="286" t="s">
        <v>1041</v>
      </c>
      <c r="O472" s="286" t="s">
        <v>1232</v>
      </c>
      <c r="P472" s="286" t="s">
        <v>1233</v>
      </c>
      <c r="Q472" s="286" t="s">
        <v>2356</v>
      </c>
      <c r="R472" s="487" t="s">
        <v>5118</v>
      </c>
    </row>
    <row r="473" spans="2:18">
      <c r="B473" s="335" t="str">
        <f t="shared" si="21"/>
        <v>STRONG 60N grey Automatic</v>
      </c>
      <c r="M473" s="286" t="s">
        <v>1043</v>
      </c>
      <c r="N473" s="286" t="s">
        <v>1043</v>
      </c>
      <c r="O473" s="286" t="s">
        <v>1234</v>
      </c>
      <c r="P473" s="286" t="s">
        <v>1235</v>
      </c>
      <c r="Q473" s="286" t="s">
        <v>1817</v>
      </c>
      <c r="R473" s="487" t="s">
        <v>5119</v>
      </c>
    </row>
    <row r="474" spans="2:18">
      <c r="B474" s="335" t="str">
        <f t="shared" si="21"/>
        <v>STRONG 80N Gray Automatic</v>
      </c>
      <c r="M474" s="286" t="s">
        <v>1045</v>
      </c>
      <c r="N474" s="286" t="s">
        <v>1045</v>
      </c>
      <c r="O474" s="286" t="s">
        <v>1236</v>
      </c>
      <c r="P474" s="286" t="s">
        <v>1237</v>
      </c>
      <c r="Q474" s="286" t="s">
        <v>2357</v>
      </c>
      <c r="R474" s="487" t="s">
        <v>5120</v>
      </c>
    </row>
    <row r="475" spans="2:18">
      <c r="B475" s="335" t="str">
        <f t="shared" si="21"/>
        <v>STRONG 100N grey Automatic</v>
      </c>
      <c r="M475" s="286" t="s">
        <v>1047</v>
      </c>
      <c r="N475" s="286" t="s">
        <v>1047</v>
      </c>
      <c r="O475" s="286" t="s">
        <v>1238</v>
      </c>
      <c r="P475" s="286" t="s">
        <v>1239</v>
      </c>
      <c r="Q475" s="286" t="s">
        <v>1819</v>
      </c>
      <c r="R475" s="487" t="s">
        <v>5121</v>
      </c>
    </row>
    <row r="476" spans="2:18">
      <c r="B476" s="335" t="str">
        <f t="shared" si="21"/>
        <v>STRONG 120N grey Automatic</v>
      </c>
      <c r="M476" s="286" t="s">
        <v>1049</v>
      </c>
      <c r="N476" s="286" t="s">
        <v>1049</v>
      </c>
      <c r="O476" s="286" t="s">
        <v>1240</v>
      </c>
      <c r="P476" s="286" t="s">
        <v>1241</v>
      </c>
      <c r="Q476" s="286" t="s">
        <v>1820</v>
      </c>
      <c r="R476" s="487" t="s">
        <v>5122</v>
      </c>
    </row>
    <row r="477" spans="2:18">
      <c r="B477" s="335" t="str">
        <f t="shared" si="21"/>
        <v>STRONG 60N grey Free-stop</v>
      </c>
      <c r="M477" s="286" t="s">
        <v>1051</v>
      </c>
      <c r="N477" s="286" t="s">
        <v>1051</v>
      </c>
      <c r="O477" s="286" t="s">
        <v>1242</v>
      </c>
      <c r="P477" s="286" t="s">
        <v>1243</v>
      </c>
      <c r="Q477" s="286" t="s">
        <v>2517</v>
      </c>
      <c r="R477" s="487" t="s">
        <v>5123</v>
      </c>
    </row>
    <row r="478" spans="2:18">
      <c r="B478" s="335" t="str">
        <f t="shared" si="21"/>
        <v>STRONG 80N grey Free-stop</v>
      </c>
      <c r="M478" s="286" t="s">
        <v>1053</v>
      </c>
      <c r="N478" s="286" t="s">
        <v>1053</v>
      </c>
      <c r="O478" s="286" t="s">
        <v>1244</v>
      </c>
      <c r="P478" s="286" t="s">
        <v>1245</v>
      </c>
      <c r="Q478" s="286" t="s">
        <v>2518</v>
      </c>
      <c r="R478" s="487" t="s">
        <v>5124</v>
      </c>
    </row>
    <row r="479" spans="2:18">
      <c r="B479" s="335" t="str">
        <f t="shared" si="21"/>
        <v>STRONG 100N grey Free-stop</v>
      </c>
      <c r="M479" s="286" t="s">
        <v>1055</v>
      </c>
      <c r="N479" s="286" t="s">
        <v>1055</v>
      </c>
      <c r="O479" s="286" t="s">
        <v>1246</v>
      </c>
      <c r="P479" s="286" t="s">
        <v>1247</v>
      </c>
      <c r="Q479" s="286" t="s">
        <v>2519</v>
      </c>
      <c r="R479" s="487" t="s">
        <v>5125</v>
      </c>
    </row>
    <row r="480" spans="2:18">
      <c r="B480" s="335" t="str">
        <f t="shared" si="21"/>
        <v>STRONG 120N Gray Positioning</v>
      </c>
      <c r="M480" s="286" t="s">
        <v>1057</v>
      </c>
      <c r="N480" s="286" t="s">
        <v>1057</v>
      </c>
      <c r="O480" s="286" t="s">
        <v>1248</v>
      </c>
      <c r="P480" s="286" t="s">
        <v>1249</v>
      </c>
      <c r="Q480" s="286" t="s">
        <v>2358</v>
      </c>
      <c r="R480" s="487" t="s">
        <v>5126</v>
      </c>
    </row>
    <row r="481" spans="2:18">
      <c r="B481" s="335" t="str">
        <f t="shared" si="21"/>
        <v>HUWIL DUO</v>
      </c>
      <c r="M481" s="286" t="s">
        <v>1059</v>
      </c>
      <c r="N481" s="286" t="s">
        <v>1059</v>
      </c>
      <c r="O481" s="286" t="s">
        <v>1059</v>
      </c>
      <c r="P481" s="286" t="s">
        <v>1059</v>
      </c>
      <c r="Q481" s="286" t="s">
        <v>1059</v>
      </c>
      <c r="R481" s="487" t="s">
        <v>1059</v>
      </c>
    </row>
    <row r="482" spans="2:18">
      <c r="B482" s="335" t="str">
        <f t="shared" si="21"/>
        <v>HUWILIFT MAXI</v>
      </c>
      <c r="M482" s="286" t="s">
        <v>1063</v>
      </c>
      <c r="N482" s="286" t="s">
        <v>1063</v>
      </c>
      <c r="O482" s="286" t="s">
        <v>1063</v>
      </c>
      <c r="P482" s="286" t="s">
        <v>1063</v>
      </c>
      <c r="Q482" s="286" t="s">
        <v>1063</v>
      </c>
      <c r="R482" s="487" t="s">
        <v>1063</v>
      </c>
    </row>
    <row r="483" spans="2:18">
      <c r="B483" s="335" t="str">
        <f t="shared" si="21"/>
        <v>KRABY 164 45N</v>
      </c>
      <c r="M483" s="286" t="s">
        <v>714</v>
      </c>
      <c r="N483" s="286" t="s">
        <v>714</v>
      </c>
      <c r="O483" s="286" t="s">
        <v>714</v>
      </c>
      <c r="P483" s="286" t="s">
        <v>714</v>
      </c>
      <c r="Q483" s="286" t="s">
        <v>714</v>
      </c>
      <c r="R483" s="487" t="s">
        <v>714</v>
      </c>
    </row>
    <row r="484" spans="2:18">
      <c r="B484" s="335" t="str">
        <f t="shared" si="21"/>
        <v>KRABY 164 60N</v>
      </c>
      <c r="M484" s="286" t="s">
        <v>715</v>
      </c>
      <c r="N484" s="286" t="s">
        <v>715</v>
      </c>
      <c r="O484" s="286" t="s">
        <v>715</v>
      </c>
      <c r="P484" s="286" t="s">
        <v>715</v>
      </c>
      <c r="Q484" s="286" t="s">
        <v>715</v>
      </c>
      <c r="R484" s="487" t="s">
        <v>715</v>
      </c>
    </row>
    <row r="485" spans="2:18">
      <c r="B485" s="335" t="str">
        <f t="shared" si="21"/>
        <v>KRABY 244 45N</v>
      </c>
      <c r="M485" s="286" t="s">
        <v>716</v>
      </c>
      <c r="N485" s="286" t="s">
        <v>716</v>
      </c>
      <c r="O485" s="286" t="s">
        <v>716</v>
      </c>
      <c r="P485" s="286" t="s">
        <v>716</v>
      </c>
      <c r="Q485" s="286" t="s">
        <v>716</v>
      </c>
      <c r="R485" s="487" t="s">
        <v>716</v>
      </c>
    </row>
    <row r="486" spans="2:18">
      <c r="B486" s="335" t="str">
        <f t="shared" si="21"/>
        <v>KRABY 244 60N</v>
      </c>
      <c r="M486" s="286" t="s">
        <v>717</v>
      </c>
      <c r="N486" s="286" t="s">
        <v>717</v>
      </c>
      <c r="O486" s="286" t="s">
        <v>717</v>
      </c>
      <c r="P486" s="286" t="s">
        <v>717</v>
      </c>
      <c r="Q486" s="286" t="s">
        <v>717</v>
      </c>
      <c r="R486" s="487" t="s">
        <v>717</v>
      </c>
    </row>
    <row r="487" spans="2:18">
      <c r="B487" s="335" t="str">
        <f t="shared" si="21"/>
        <v>KRABY 244 90N</v>
      </c>
      <c r="M487" s="286" t="s">
        <v>718</v>
      </c>
      <c r="N487" s="286" t="s">
        <v>718</v>
      </c>
      <c r="O487" s="286" t="s">
        <v>718</v>
      </c>
      <c r="P487" s="286" t="s">
        <v>718</v>
      </c>
      <c r="Q487" s="286" t="s">
        <v>718</v>
      </c>
      <c r="R487" s="487" t="s">
        <v>718</v>
      </c>
    </row>
    <row r="488" spans="2:18">
      <c r="B488" s="335" t="str">
        <f t="shared" si="21"/>
        <v>KRABY 244 120N</v>
      </c>
      <c r="M488" s="286" t="s">
        <v>719</v>
      </c>
      <c r="N488" s="286" t="s">
        <v>719</v>
      </c>
      <c r="O488" s="286" t="s">
        <v>719</v>
      </c>
      <c r="P488" s="286" t="s">
        <v>719</v>
      </c>
      <c r="Q488" s="286" t="s">
        <v>719</v>
      </c>
      <c r="R488" s="487" t="s">
        <v>719</v>
      </c>
    </row>
    <row r="489" spans="2:18">
      <c r="B489" s="335" t="str">
        <f t="shared" si="21"/>
        <v>KRABY 355 45N</v>
      </c>
      <c r="M489" s="286" t="s">
        <v>720</v>
      </c>
      <c r="N489" s="286" t="s">
        <v>720</v>
      </c>
      <c r="O489" s="286" t="s">
        <v>720</v>
      </c>
      <c r="P489" s="286" t="s">
        <v>720</v>
      </c>
      <c r="Q489" s="286" t="s">
        <v>720</v>
      </c>
      <c r="R489" s="487" t="s">
        <v>720</v>
      </c>
    </row>
    <row r="490" spans="2:18">
      <c r="B490" s="335" t="str">
        <f t="shared" ref="B490:B553" si="22">IF($D$1=1,M490,IF($D$1=2,N490,IF($D$1=3,O490,IF($D$1=4,P490,IF($D$1=5,Q490,IF($D$1=6,R490,0))))))</f>
        <v>KRABY 355 60N</v>
      </c>
      <c r="M490" s="286" t="s">
        <v>721</v>
      </c>
      <c r="N490" s="286" t="s">
        <v>721</v>
      </c>
      <c r="O490" s="286" t="s">
        <v>721</v>
      </c>
      <c r="P490" s="286" t="s">
        <v>721</v>
      </c>
      <c r="Q490" s="286" t="s">
        <v>721</v>
      </c>
      <c r="R490" s="487" t="s">
        <v>721</v>
      </c>
    </row>
    <row r="491" spans="2:18">
      <c r="B491" s="335" t="str">
        <f t="shared" si="22"/>
        <v>KRABY 355 90N</v>
      </c>
      <c r="M491" s="286" t="s">
        <v>722</v>
      </c>
      <c r="N491" s="286" t="s">
        <v>722</v>
      </c>
      <c r="O491" s="286" t="s">
        <v>722</v>
      </c>
      <c r="P491" s="286" t="s">
        <v>722</v>
      </c>
      <c r="Q491" s="286" t="s">
        <v>722</v>
      </c>
      <c r="R491" s="487" t="s">
        <v>722</v>
      </c>
    </row>
    <row r="492" spans="2:18">
      <c r="B492" s="335" t="str">
        <f t="shared" si="22"/>
        <v>KRABY 355 120N</v>
      </c>
      <c r="M492" s="286" t="s">
        <v>723</v>
      </c>
      <c r="N492" s="286" t="s">
        <v>723</v>
      </c>
      <c r="O492" s="286" t="s">
        <v>723</v>
      </c>
      <c r="P492" s="286" t="s">
        <v>723</v>
      </c>
      <c r="Q492" s="286" t="s">
        <v>723</v>
      </c>
      <c r="R492" s="487" t="s">
        <v>723</v>
      </c>
    </row>
    <row r="493" spans="2:18">
      <c r="B493" s="335" t="str">
        <f t="shared" si="22"/>
        <v>K12 244 50N</v>
      </c>
      <c r="M493" s="286" t="s">
        <v>1075</v>
      </c>
      <c r="N493" s="286" t="s">
        <v>1075</v>
      </c>
      <c r="O493" s="286" t="s">
        <v>1075</v>
      </c>
      <c r="P493" s="286" t="s">
        <v>1075</v>
      </c>
      <c r="Q493" s="286" t="s">
        <v>1075</v>
      </c>
      <c r="R493" s="487" t="s">
        <v>1075</v>
      </c>
    </row>
    <row r="494" spans="2:18">
      <c r="B494" s="335" t="str">
        <f t="shared" si="22"/>
        <v>K12 244 80N</v>
      </c>
      <c r="M494" s="286" t="s">
        <v>1077</v>
      </c>
      <c r="N494" s="286" t="s">
        <v>1077</v>
      </c>
      <c r="O494" s="286" t="s">
        <v>1077</v>
      </c>
      <c r="P494" s="286" t="s">
        <v>1077</v>
      </c>
      <c r="Q494" s="286" t="s">
        <v>1077</v>
      </c>
      <c r="R494" s="487" t="s">
        <v>1077</v>
      </c>
    </row>
    <row r="495" spans="2:18">
      <c r="B495" s="335" t="str">
        <f t="shared" si="22"/>
        <v>K12 244 100N</v>
      </c>
      <c r="M495" s="286" t="s">
        <v>1079</v>
      </c>
      <c r="N495" s="286" t="s">
        <v>1079</v>
      </c>
      <c r="O495" s="286" t="s">
        <v>1079</v>
      </c>
      <c r="P495" s="286" t="s">
        <v>1079</v>
      </c>
      <c r="Q495" s="286" t="s">
        <v>1079</v>
      </c>
      <c r="R495" s="487" t="s">
        <v>1079</v>
      </c>
    </row>
    <row r="496" spans="2:18">
      <c r="B496" s="335" t="str">
        <f t="shared" si="22"/>
        <v>K12 244 120N</v>
      </c>
      <c r="M496" s="286" t="s">
        <v>1081</v>
      </c>
      <c r="N496" s="286" t="s">
        <v>1081</v>
      </c>
      <c r="O496" s="286" t="s">
        <v>1081</v>
      </c>
      <c r="P496" s="286" t="s">
        <v>1081</v>
      </c>
      <c r="Q496" s="286" t="s">
        <v>1081</v>
      </c>
      <c r="R496" s="487" t="s">
        <v>1081</v>
      </c>
    </row>
    <row r="497" spans="2:18">
      <c r="B497" s="335" t="str">
        <f t="shared" si="22"/>
        <v>K12 355 60N</v>
      </c>
      <c r="M497" s="286" t="s">
        <v>1083</v>
      </c>
      <c r="N497" s="286" t="s">
        <v>1083</v>
      </c>
      <c r="O497" s="286" t="s">
        <v>1083</v>
      </c>
      <c r="P497" s="286" t="s">
        <v>1083</v>
      </c>
      <c r="Q497" s="286" t="s">
        <v>1083</v>
      </c>
      <c r="R497" s="487" t="s">
        <v>1083</v>
      </c>
    </row>
    <row r="498" spans="2:18">
      <c r="B498" s="335" t="str">
        <f t="shared" si="22"/>
        <v>K12 355 90N</v>
      </c>
      <c r="M498" s="286" t="s">
        <v>1085</v>
      </c>
      <c r="N498" s="286" t="s">
        <v>1085</v>
      </c>
      <c r="O498" s="286" t="s">
        <v>1085</v>
      </c>
      <c r="P498" s="286" t="s">
        <v>1085</v>
      </c>
      <c r="Q498" s="286" t="s">
        <v>1085</v>
      </c>
      <c r="R498" s="487" t="s">
        <v>1085</v>
      </c>
    </row>
    <row r="499" spans="2:18">
      <c r="B499" s="335" t="str">
        <f t="shared" si="22"/>
        <v>K12 355 110N</v>
      </c>
      <c r="M499" s="286" t="s">
        <v>1087</v>
      </c>
      <c r="N499" s="286" t="s">
        <v>1087</v>
      </c>
      <c r="O499" s="286" t="s">
        <v>1087</v>
      </c>
      <c r="P499" s="286" t="s">
        <v>1087</v>
      </c>
      <c r="Q499" s="286" t="s">
        <v>1087</v>
      </c>
      <c r="R499" s="487" t="s">
        <v>1087</v>
      </c>
    </row>
    <row r="500" spans="2:18">
      <c r="B500" s="335" t="str">
        <f t="shared" si="22"/>
        <v>K12 355 130N</v>
      </c>
      <c r="M500" s="286" t="s">
        <v>1089</v>
      </c>
      <c r="N500" s="286" t="s">
        <v>1089</v>
      </c>
      <c r="O500" s="286" t="s">
        <v>1089</v>
      </c>
      <c r="P500" s="286" t="s">
        <v>1089</v>
      </c>
      <c r="Q500" s="286" t="s">
        <v>1089</v>
      </c>
      <c r="R500" s="487" t="s">
        <v>1089</v>
      </c>
    </row>
    <row r="501" spans="2:18">
      <c r="B501" s="335" t="str">
        <f t="shared" si="22"/>
        <v>STRONG drop-downwhite</v>
      </c>
      <c r="M501" s="286" t="s">
        <v>1091</v>
      </c>
      <c r="N501" s="286" t="s">
        <v>1250</v>
      </c>
      <c r="O501" s="286" t="s">
        <v>1251</v>
      </c>
      <c r="P501" s="286" t="s">
        <v>1252</v>
      </c>
      <c r="Q501" s="286" t="s">
        <v>2520</v>
      </c>
      <c r="R501" s="487" t="s">
        <v>5328</v>
      </c>
    </row>
    <row r="502" spans="2:18">
      <c r="B502" s="335" t="str">
        <f t="shared" si="22"/>
        <v>STRONG drop-downgrey</v>
      </c>
      <c r="M502" s="286" t="s">
        <v>1093</v>
      </c>
      <c r="N502" s="286" t="s">
        <v>1253</v>
      </c>
      <c r="O502" s="286" t="s">
        <v>1254</v>
      </c>
      <c r="P502" s="286" t="s">
        <v>1255</v>
      </c>
      <c r="Q502" s="286" t="s">
        <v>2521</v>
      </c>
      <c r="R502" s="487" t="s">
        <v>5333</v>
      </c>
    </row>
    <row r="503" spans="2:18">
      <c r="B503" s="335" t="str">
        <f t="shared" si="22"/>
        <v>HUWIL DUO (90°)</v>
      </c>
      <c r="M503" s="286" t="s">
        <v>1095</v>
      </c>
      <c r="N503" s="286" t="s">
        <v>1095</v>
      </c>
      <c r="O503" s="286" t="s">
        <v>1095</v>
      </c>
      <c r="P503" s="286" t="s">
        <v>1095</v>
      </c>
      <c r="Q503" s="286" t="s">
        <v>815</v>
      </c>
      <c r="R503" s="487" t="s">
        <v>815</v>
      </c>
    </row>
    <row r="504" spans="2:18">
      <c r="B504" s="335" t="str">
        <f t="shared" si="22"/>
        <v>HUWIL DUO FORTE</v>
      </c>
      <c r="M504" s="286" t="s">
        <v>1061</v>
      </c>
      <c r="N504" s="286" t="s">
        <v>1061</v>
      </c>
      <c r="O504" s="286" t="s">
        <v>1061</v>
      </c>
      <c r="P504" s="286" t="s">
        <v>1061</v>
      </c>
      <c r="Q504" s="286" t="s">
        <v>1061</v>
      </c>
      <c r="R504" s="487" t="s">
        <v>1061</v>
      </c>
    </row>
    <row r="505" spans="2:18">
      <c r="B505" s="335" t="str">
        <f t="shared" si="22"/>
        <v>CARTON 164 Bottom</v>
      </c>
      <c r="M505" s="286" t="s">
        <v>1098</v>
      </c>
      <c r="N505" s="286" t="s">
        <v>1256</v>
      </c>
      <c r="O505" s="286" t="s">
        <v>1257</v>
      </c>
      <c r="P505" s="286" t="s">
        <v>1258</v>
      </c>
      <c r="Q505" s="286" t="s">
        <v>2359</v>
      </c>
      <c r="R505" s="487" t="s">
        <v>5330</v>
      </c>
    </row>
    <row r="506" spans="2:18">
      <c r="B506" s="335" t="str">
        <f t="shared" si="22"/>
        <v>CARTON 244 Bottom</v>
      </c>
      <c r="M506" s="286" t="s">
        <v>1100</v>
      </c>
      <c r="N506" s="286" t="s">
        <v>1259</v>
      </c>
      <c r="O506" s="286" t="s">
        <v>1260</v>
      </c>
      <c r="P506" s="286" t="s">
        <v>1261</v>
      </c>
      <c r="Q506" s="286" t="s">
        <v>2360</v>
      </c>
      <c r="R506" s="487" t="s">
        <v>5331</v>
      </c>
    </row>
    <row r="507" spans="2:18">
      <c r="B507" s="335" t="str">
        <f t="shared" si="22"/>
        <v>CARTON 355 Bottom</v>
      </c>
      <c r="M507" s="286" t="s">
        <v>1102</v>
      </c>
      <c r="N507" s="286" t="s">
        <v>1262</v>
      </c>
      <c r="O507" s="286" t="s">
        <v>1263</v>
      </c>
      <c r="P507" s="286" t="s">
        <v>1264</v>
      </c>
      <c r="Q507" s="286" t="s">
        <v>2361</v>
      </c>
      <c r="R507" s="487" t="s">
        <v>5332</v>
      </c>
    </row>
    <row r="508" spans="2:18">
      <c r="B508" s="335" t="str">
        <f t="shared" si="22"/>
        <v>Slide-on H0 for screw fixing</v>
      </c>
      <c r="M508" s="286" t="s">
        <v>1110</v>
      </c>
      <c r="N508" s="286" t="s">
        <v>1265</v>
      </c>
      <c r="O508" s="286" t="s">
        <v>1266</v>
      </c>
      <c r="P508" s="286" t="s">
        <v>2248</v>
      </c>
      <c r="Q508" s="286" t="s">
        <v>2522</v>
      </c>
      <c r="R508" s="487" t="s">
        <v>5334</v>
      </c>
    </row>
    <row r="509" spans="2:18">
      <c r="B509" s="335" t="str">
        <f t="shared" si="22"/>
        <v>Slide-on H0 for Euro-screw fixing</v>
      </c>
      <c r="M509" s="286" t="s">
        <v>1111</v>
      </c>
      <c r="N509" s="286" t="s">
        <v>1268</v>
      </c>
      <c r="O509" s="286" t="s">
        <v>1269</v>
      </c>
      <c r="P509" s="286" t="s">
        <v>2249</v>
      </c>
      <c r="Q509" s="286" t="s">
        <v>2523</v>
      </c>
      <c r="R509" s="487" t="s">
        <v>5335</v>
      </c>
    </row>
    <row r="510" spans="2:18">
      <c r="B510" s="335" t="str">
        <f t="shared" si="22"/>
        <v>Slide-on H2 for screw fixing</v>
      </c>
      <c r="M510" s="286" t="s">
        <v>1112</v>
      </c>
      <c r="N510" s="286" t="s">
        <v>1271</v>
      </c>
      <c r="O510" s="286" t="s">
        <v>1272</v>
      </c>
      <c r="P510" s="286" t="s">
        <v>1273</v>
      </c>
      <c r="Q510" s="286" t="s">
        <v>2524</v>
      </c>
      <c r="R510" s="487" t="s">
        <v>5336</v>
      </c>
    </row>
    <row r="511" spans="2:18">
      <c r="B511" s="335" t="str">
        <f t="shared" si="22"/>
        <v>Slide-on H2 for Euro-screw fixing</v>
      </c>
      <c r="M511" s="286" t="s">
        <v>1113</v>
      </c>
      <c r="N511" s="286" t="s">
        <v>1274</v>
      </c>
      <c r="O511" s="286" t="s">
        <v>1275</v>
      </c>
      <c r="P511" s="286" t="s">
        <v>2250</v>
      </c>
      <c r="Q511" s="286" t="s">
        <v>2525</v>
      </c>
      <c r="R511" s="487" t="s">
        <v>5337</v>
      </c>
    </row>
    <row r="512" spans="2:18">
      <c r="B512" s="335" t="str">
        <f t="shared" si="22"/>
        <v>Clip on plate H2 for screws fixing</v>
      </c>
      <c r="M512" s="286" t="s">
        <v>185</v>
      </c>
      <c r="N512" s="286" t="s">
        <v>393</v>
      </c>
      <c r="O512" s="286" t="s">
        <v>457</v>
      </c>
      <c r="P512" s="286" t="s">
        <v>533</v>
      </c>
      <c r="Q512" s="286" t="s">
        <v>2423</v>
      </c>
      <c r="R512" s="487" t="s">
        <v>5338</v>
      </c>
    </row>
    <row r="513" spans="2:18">
      <c r="B513" s="335" t="str">
        <f t="shared" si="22"/>
        <v>Clip-on H0 for screw fixing with excenter</v>
      </c>
      <c r="M513" s="286" t="s">
        <v>1115</v>
      </c>
      <c r="N513" s="286" t="s">
        <v>1277</v>
      </c>
      <c r="O513" s="286" t="s">
        <v>1278</v>
      </c>
      <c r="P513" s="286" t="s">
        <v>1446</v>
      </c>
      <c r="Q513" s="286" t="s">
        <v>2526</v>
      </c>
      <c r="R513" s="487" t="s">
        <v>5339</v>
      </c>
    </row>
    <row r="514" spans="2:18">
      <c r="B514" s="335" t="str">
        <f t="shared" si="22"/>
        <v>Clip-on H0 for screw fixing</v>
      </c>
      <c r="M514" s="286" t="s">
        <v>183</v>
      </c>
      <c r="N514" s="286" t="s">
        <v>409</v>
      </c>
      <c r="O514" s="286" t="s">
        <v>474</v>
      </c>
      <c r="P514" s="286" t="s">
        <v>550</v>
      </c>
      <c r="Q514" s="286" t="s">
        <v>2442</v>
      </c>
      <c r="R514" s="487" t="s">
        <v>5340</v>
      </c>
    </row>
    <row r="515" spans="2:18">
      <c r="B515" s="335" t="str">
        <f t="shared" si="22"/>
        <v>The minimum possible frame size is 140x140mm</v>
      </c>
      <c r="M515" s="286" t="s">
        <v>1283</v>
      </c>
      <c r="N515" s="286" t="s">
        <v>1284</v>
      </c>
      <c r="O515" s="286" t="s">
        <v>1285</v>
      </c>
      <c r="P515" s="286" t="s">
        <v>1286</v>
      </c>
      <c r="Q515" s="286" t="s">
        <v>1836</v>
      </c>
      <c r="R515" s="487" t="s">
        <v>5127</v>
      </c>
    </row>
    <row r="516" spans="2:18">
      <c r="B516" s="335" t="str">
        <f t="shared" si="22"/>
        <v>Sensys SiSy Overlay</v>
      </c>
      <c r="M516" s="309" t="s">
        <v>1288</v>
      </c>
      <c r="N516" s="286" t="s">
        <v>1288</v>
      </c>
      <c r="O516" s="286" t="s">
        <v>1406</v>
      </c>
      <c r="P516" s="286" t="s">
        <v>1407</v>
      </c>
      <c r="Q516" s="286" t="s">
        <v>2527</v>
      </c>
      <c r="R516" s="487" t="s">
        <v>5341</v>
      </c>
    </row>
    <row r="517" spans="2:18">
      <c r="B517" s="335" t="str">
        <f t="shared" si="22"/>
        <v>Sensys SiSy Half-Overlay</v>
      </c>
      <c r="M517" s="309" t="s">
        <v>1289</v>
      </c>
      <c r="N517" s="286" t="s">
        <v>1289</v>
      </c>
      <c r="O517" s="286" t="s">
        <v>1414</v>
      </c>
      <c r="P517" s="286" t="s">
        <v>2251</v>
      </c>
      <c r="Q517" s="286" t="s">
        <v>2528</v>
      </c>
      <c r="R517" s="487" t="s">
        <v>5342</v>
      </c>
    </row>
    <row r="518" spans="2:18">
      <c r="B518" s="335" t="str">
        <f t="shared" si="22"/>
        <v>Sensys SiSy Inset</v>
      </c>
      <c r="M518" s="309" t="s">
        <v>1290</v>
      </c>
      <c r="N518" s="286" t="s">
        <v>1433</v>
      </c>
      <c r="O518" s="286" t="s">
        <v>1434</v>
      </c>
      <c r="P518" s="286" t="s">
        <v>2252</v>
      </c>
      <c r="Q518" s="286" t="s">
        <v>2529</v>
      </c>
      <c r="R518" s="487" t="s">
        <v>5343</v>
      </c>
    </row>
    <row r="519" spans="2:18">
      <c r="B519" s="335" t="str">
        <f t="shared" si="22"/>
        <v>Sensys P2o Overlay</v>
      </c>
      <c r="M519" s="309" t="s">
        <v>1291</v>
      </c>
      <c r="N519" s="286" t="s">
        <v>1291</v>
      </c>
      <c r="O519" s="286" t="s">
        <v>1408</v>
      </c>
      <c r="P519" s="286" t="s">
        <v>1409</v>
      </c>
      <c r="Q519" s="286" t="s">
        <v>2530</v>
      </c>
      <c r="R519" s="487" t="s">
        <v>5344</v>
      </c>
    </row>
    <row r="520" spans="2:18">
      <c r="B520" s="335" t="str">
        <f t="shared" si="22"/>
        <v>Sensys P2o Half-Overlay</v>
      </c>
      <c r="M520" s="309" t="s">
        <v>1292</v>
      </c>
      <c r="N520" s="286" t="s">
        <v>1292</v>
      </c>
      <c r="O520" s="286" t="s">
        <v>1416</v>
      </c>
      <c r="P520" s="286" t="s">
        <v>2253</v>
      </c>
      <c r="Q520" s="286" t="s">
        <v>2531</v>
      </c>
      <c r="R520" s="487" t="s">
        <v>5345</v>
      </c>
    </row>
    <row r="521" spans="2:18">
      <c r="B521" s="335" t="str">
        <f t="shared" si="22"/>
        <v>Sensys P2o Inset</v>
      </c>
      <c r="M521" s="309" t="s">
        <v>1293</v>
      </c>
      <c r="N521" s="286" t="s">
        <v>1436</v>
      </c>
      <c r="O521" s="286" t="s">
        <v>1437</v>
      </c>
      <c r="P521" s="286" t="s">
        <v>2254</v>
      </c>
      <c r="Q521" s="286" t="s">
        <v>2532</v>
      </c>
      <c r="R521" s="487" t="s">
        <v>5346</v>
      </c>
    </row>
    <row r="522" spans="2:18">
      <c r="B522" s="335" t="str">
        <f t="shared" si="22"/>
        <v>Sensys Overlay with P2O</v>
      </c>
      <c r="M522" s="309" t="s">
        <v>1294</v>
      </c>
      <c r="N522" s="286" t="s">
        <v>1291</v>
      </c>
      <c r="O522" s="286" t="s">
        <v>1408</v>
      </c>
      <c r="P522" s="286" t="s">
        <v>1409</v>
      </c>
      <c r="Q522" s="286" t="s">
        <v>2533</v>
      </c>
      <c r="R522" s="487" t="s">
        <v>5128</v>
      </c>
    </row>
    <row r="523" spans="2:18">
      <c r="B523" s="335" t="str">
        <f t="shared" si="22"/>
        <v>Overlay with 110° soft-closing clip-on, ONYX</v>
      </c>
      <c r="M523" s="286" t="s">
        <v>1295</v>
      </c>
      <c r="N523" s="286" t="s">
        <v>1410</v>
      </c>
      <c r="O523" s="286" t="s">
        <v>1411</v>
      </c>
      <c r="P523" s="286" t="s">
        <v>1430</v>
      </c>
      <c r="Q523" s="286" t="s">
        <v>2534</v>
      </c>
      <c r="R523" s="487" t="s">
        <v>5129</v>
      </c>
    </row>
    <row r="524" spans="2:18">
      <c r="B524" s="335" t="str">
        <f t="shared" si="22"/>
        <v>Half-Overlay with 110° soft-closing clip-on, ONYX</v>
      </c>
      <c r="M524" s="286" t="s">
        <v>1296</v>
      </c>
      <c r="N524" s="286" t="s">
        <v>1412</v>
      </c>
      <c r="O524" s="286" t="s">
        <v>1413</v>
      </c>
      <c r="P524" s="286" t="s">
        <v>2255</v>
      </c>
      <c r="Q524" s="286" t="s">
        <v>2535</v>
      </c>
      <c r="R524" s="487" t="s">
        <v>5130</v>
      </c>
    </row>
    <row r="525" spans="2:18">
      <c r="B525" s="335" t="str">
        <f t="shared" si="22"/>
        <v>Inset with 110° clip-on soft-closing, ONYX</v>
      </c>
      <c r="M525" s="286" t="s">
        <v>1297</v>
      </c>
      <c r="N525" s="286" t="s">
        <v>1439</v>
      </c>
      <c r="O525" s="286" t="s">
        <v>1440</v>
      </c>
      <c r="P525" s="286" t="s">
        <v>2256</v>
      </c>
      <c r="Q525" s="286" t="s">
        <v>2536</v>
      </c>
      <c r="R525" s="487" t="s">
        <v>5131</v>
      </c>
    </row>
    <row r="526" spans="2:18">
      <c r="B526" s="335" t="str">
        <f t="shared" si="22"/>
        <v>Overlay 95°, Onyx</v>
      </c>
      <c r="M526" s="286" t="s">
        <v>1298</v>
      </c>
      <c r="N526" s="286" t="s">
        <v>1418</v>
      </c>
      <c r="O526" s="286" t="s">
        <v>1419</v>
      </c>
      <c r="P526" s="286" t="s">
        <v>1432</v>
      </c>
      <c r="Q526" s="286" t="s">
        <v>2537</v>
      </c>
      <c r="R526" s="487" t="s">
        <v>5132</v>
      </c>
    </row>
    <row r="527" spans="2:18">
      <c r="B527" s="335" t="str">
        <f t="shared" si="22"/>
        <v>StrongHinges S3</v>
      </c>
      <c r="M527" s="286" t="s">
        <v>3434</v>
      </c>
      <c r="N527" s="286" t="s">
        <v>3434</v>
      </c>
      <c r="O527" s="286" t="s">
        <v>3434</v>
      </c>
      <c r="P527" s="286" t="s">
        <v>3434</v>
      </c>
      <c r="Q527" s="286" t="s">
        <v>3434</v>
      </c>
      <c r="R527" s="487" t="s">
        <v>3434</v>
      </c>
    </row>
    <row r="528" spans="2:18">
      <c r="B528" s="335" t="str">
        <f t="shared" si="22"/>
        <v>StrongHinges S3 Overlay clip-on without spring</v>
      </c>
      <c r="M528" s="286" t="s">
        <v>3435</v>
      </c>
      <c r="N528" s="286" t="s">
        <v>3436</v>
      </c>
      <c r="O528" s="286" t="s">
        <v>3437</v>
      </c>
      <c r="P528" s="286" t="s">
        <v>3438</v>
      </c>
      <c r="Q528" s="286" t="s">
        <v>3439</v>
      </c>
      <c r="R528" s="487" t="s">
        <v>5347</v>
      </c>
    </row>
    <row r="529" spans="2:18">
      <c r="B529" s="335" t="str">
        <f t="shared" si="22"/>
        <v>StrongHinges S3 Overlay clip-on without spring</v>
      </c>
      <c r="M529" s="286" t="s">
        <v>3435</v>
      </c>
      <c r="N529" s="286" t="s">
        <v>3440</v>
      </c>
      <c r="O529" s="286" t="s">
        <v>3437</v>
      </c>
      <c r="P529" s="286" t="s">
        <v>3438</v>
      </c>
      <c r="Q529" s="286" t="s">
        <v>3439</v>
      </c>
      <c r="R529" s="487" t="s">
        <v>5347</v>
      </c>
    </row>
    <row r="530" spans="2:18">
      <c r="B530" s="335" t="str">
        <f t="shared" si="22"/>
        <v>StorngHinges inserted clip-on without spring</v>
      </c>
      <c r="M530" s="286" t="s">
        <v>3369</v>
      </c>
      <c r="N530" s="286" t="s">
        <v>3441</v>
      </c>
      <c r="O530" s="286" t="s">
        <v>3442</v>
      </c>
      <c r="P530" s="286" t="s">
        <v>3443</v>
      </c>
      <c r="Q530" s="286" t="s">
        <v>3370</v>
      </c>
      <c r="R530" s="487" t="s">
        <v>5348</v>
      </c>
    </row>
    <row r="531" spans="2:18">
      <c r="B531" s="335" t="str">
        <f t="shared" si="22"/>
        <v>StrongHinges S3 30° clip-on without spring</v>
      </c>
      <c r="M531" s="286" t="s">
        <v>3444</v>
      </c>
      <c r="N531" s="286" t="s">
        <v>3445</v>
      </c>
      <c r="O531" s="286" t="s">
        <v>3446</v>
      </c>
      <c r="P531" s="286" t="s">
        <v>3447</v>
      </c>
      <c r="Q531" s="286" t="s">
        <v>3448</v>
      </c>
      <c r="R531" s="487" t="s">
        <v>5349</v>
      </c>
    </row>
    <row r="532" spans="2:18">
      <c r="B532" s="335" t="str">
        <f t="shared" si="22"/>
        <v>StrongHinges S3 Overlay clip-on</v>
      </c>
      <c r="M532" s="286" t="s">
        <v>3449</v>
      </c>
      <c r="N532" s="286" t="s">
        <v>3449</v>
      </c>
      <c r="O532" s="286" t="s">
        <v>3450</v>
      </c>
      <c r="P532" s="286" t="s">
        <v>3451</v>
      </c>
      <c r="Q532" s="286" t="s">
        <v>3452</v>
      </c>
      <c r="R532" s="487" t="s">
        <v>5350</v>
      </c>
    </row>
    <row r="533" spans="2:18">
      <c r="B533" s="335" t="str">
        <f t="shared" si="22"/>
        <v>StrongHinges S3 Half-Overlay clip-on</v>
      </c>
      <c r="M533" s="286" t="s">
        <v>3453</v>
      </c>
      <c r="N533" s="286" t="s">
        <v>3453</v>
      </c>
      <c r="O533" s="286" t="s">
        <v>3454</v>
      </c>
      <c r="P533" s="286" t="s">
        <v>3455</v>
      </c>
      <c r="Q533" s="286" t="s">
        <v>3456</v>
      </c>
      <c r="R533" s="487" t="s">
        <v>5351</v>
      </c>
    </row>
    <row r="534" spans="2:18">
      <c r="B534" s="335" t="str">
        <f t="shared" si="22"/>
        <v>StrongHinges S3 Inset clip-on</v>
      </c>
      <c r="M534" s="286" t="s">
        <v>3457</v>
      </c>
      <c r="N534" s="286" t="s">
        <v>3457</v>
      </c>
      <c r="O534" s="286" t="s">
        <v>3458</v>
      </c>
      <c r="P534" s="286" t="s">
        <v>3459</v>
      </c>
      <c r="Q534" s="286" t="s">
        <v>3460</v>
      </c>
      <c r="R534" s="487" t="s">
        <v>5352</v>
      </c>
    </row>
    <row r="535" spans="2:18">
      <c r="B535" s="335" t="str">
        <f t="shared" si="22"/>
        <v>StrongHinges S3 30°clip-on</v>
      </c>
      <c r="M535" s="286" t="s">
        <v>3461</v>
      </c>
      <c r="N535" s="286" t="s">
        <v>3461</v>
      </c>
      <c r="O535" s="286" t="s">
        <v>3461</v>
      </c>
      <c r="P535" s="286" t="s">
        <v>3461</v>
      </c>
      <c r="Q535" s="286" t="s">
        <v>3462</v>
      </c>
      <c r="R535" s="487" t="s">
        <v>5353</v>
      </c>
    </row>
    <row r="536" spans="2:18">
      <c r="B536" s="335" t="str">
        <f t="shared" si="22"/>
        <v>StrongHinges S3 Overlay clip-on</v>
      </c>
      <c r="M536" s="286" t="s">
        <v>3449</v>
      </c>
      <c r="N536" s="286" t="s">
        <v>3449</v>
      </c>
      <c r="O536" s="286" t="s">
        <v>3450</v>
      </c>
      <c r="P536" s="286" t="s">
        <v>3451</v>
      </c>
      <c r="Q536" s="286" t="s">
        <v>3452</v>
      </c>
      <c r="R536" s="487" t="s">
        <v>5350</v>
      </c>
    </row>
    <row r="537" spans="2:18">
      <c r="B537" s="335" t="str">
        <f t="shared" si="22"/>
        <v>StrongHinges S3 Overlay clip-on without spring</v>
      </c>
      <c r="M537" s="286" t="s">
        <v>3435</v>
      </c>
      <c r="N537" s="286" t="s">
        <v>3436</v>
      </c>
      <c r="O537" s="286" t="s">
        <v>3437</v>
      </c>
      <c r="P537" s="286" t="s">
        <v>3438</v>
      </c>
      <c r="Q537" s="286" t="s">
        <v>3439</v>
      </c>
      <c r="R537" s="487" t="s">
        <v>5347</v>
      </c>
    </row>
    <row r="538" spans="2:18">
      <c r="B538" s="335" t="str">
        <f t="shared" si="22"/>
        <v>StrongHinges S3 Clip-on H0 for screw with excenter</v>
      </c>
      <c r="M538" s="286" t="s">
        <v>3463</v>
      </c>
      <c r="N538" s="286" t="s">
        <v>3464</v>
      </c>
      <c r="O538" s="286" t="s">
        <v>3465</v>
      </c>
      <c r="P538" s="286" t="s">
        <v>3466</v>
      </c>
      <c r="Q538" s="286" t="s">
        <v>3467</v>
      </c>
      <c r="R538" s="487" t="s">
        <v>5354</v>
      </c>
    </row>
    <row r="539" spans="2:18">
      <c r="B539" s="335" t="str">
        <f t="shared" si="22"/>
        <v>StrongHinges S3 Clip-on H2 for screw with excenter</v>
      </c>
      <c r="M539" s="286" t="s">
        <v>3468</v>
      </c>
      <c r="N539" s="286" t="s">
        <v>3469</v>
      </c>
      <c r="O539" s="286" t="s">
        <v>3470</v>
      </c>
      <c r="P539" s="286" t="s">
        <v>3471</v>
      </c>
      <c r="Q539" s="286" t="s">
        <v>3472</v>
      </c>
      <c r="R539" s="487" t="s">
        <v>5133</v>
      </c>
    </row>
    <row r="540" spans="2:18">
      <c r="B540" s="335" t="str">
        <f t="shared" si="22"/>
        <v>Main page</v>
      </c>
      <c r="M540" s="286" t="s">
        <v>1447</v>
      </c>
      <c r="N540" s="286" t="s">
        <v>1447</v>
      </c>
      <c r="O540" s="286" t="s">
        <v>1448</v>
      </c>
      <c r="P540" s="286" t="s">
        <v>2257</v>
      </c>
      <c r="Q540" s="286" t="s">
        <v>1854</v>
      </c>
      <c r="R540" s="487" t="s">
        <v>5134</v>
      </c>
    </row>
    <row r="541" spans="2:18">
      <c r="B541" s="335" t="str">
        <f t="shared" si="22"/>
        <v>The maximum possible dimension of Corleone frame is 1500x600mm</v>
      </c>
      <c r="M541" s="328" t="s">
        <v>1460</v>
      </c>
      <c r="N541" s="286" t="s">
        <v>1461</v>
      </c>
      <c r="O541" s="286" t="s">
        <v>1462</v>
      </c>
      <c r="P541" s="286" t="s">
        <v>1463</v>
      </c>
      <c r="Q541" s="286" t="s">
        <v>2538</v>
      </c>
      <c r="R541" s="487" t="s">
        <v>5135</v>
      </c>
    </row>
    <row r="542" spans="2:18">
      <c r="B542" s="335" t="str">
        <f t="shared" si="22"/>
        <v>Combination of 2 Profiles</v>
      </c>
      <c r="M542" s="286" t="s">
        <v>1938</v>
      </c>
      <c r="N542" s="286" t="s">
        <v>2068</v>
      </c>
      <c r="O542" s="286" t="s">
        <v>2069</v>
      </c>
      <c r="P542" s="286" t="s">
        <v>2070</v>
      </c>
      <c r="Q542" s="286" t="s">
        <v>2539</v>
      </c>
      <c r="R542" s="487" t="s">
        <v>5136</v>
      </c>
    </row>
    <row r="543" spans="2:18">
      <c r="B543" s="335" t="str">
        <f t="shared" si="22"/>
        <v>Dividing bars</v>
      </c>
      <c r="M543" s="286" t="s">
        <v>2071</v>
      </c>
      <c r="N543" s="286" t="s">
        <v>2073</v>
      </c>
      <c r="O543" s="286" t="s">
        <v>1865</v>
      </c>
      <c r="P543" s="286" t="s">
        <v>2072</v>
      </c>
      <c r="Q543" s="286" t="s">
        <v>2362</v>
      </c>
      <c r="R543" s="487" t="s">
        <v>5137</v>
      </c>
    </row>
    <row r="544" spans="2:18">
      <c r="B544" s="335" t="str">
        <f t="shared" si="22"/>
        <v>Fittings brand</v>
      </c>
      <c r="M544" s="286" t="s">
        <v>1940</v>
      </c>
      <c r="N544" s="286" t="s">
        <v>2074</v>
      </c>
      <c r="O544" s="286" t="s">
        <v>2075</v>
      </c>
      <c r="P544" s="286" t="s">
        <v>2258</v>
      </c>
      <c r="Q544" s="286" t="s">
        <v>2377</v>
      </c>
      <c r="R544" s="487" t="s">
        <v>5138</v>
      </c>
    </row>
    <row r="545" spans="2:18">
      <c r="B545" s="335" t="str">
        <f t="shared" si="22"/>
        <v>Fittings variant</v>
      </c>
      <c r="M545" s="286" t="s">
        <v>1941</v>
      </c>
      <c r="N545" s="286" t="s">
        <v>2077</v>
      </c>
      <c r="O545" s="286" t="s">
        <v>2076</v>
      </c>
      <c r="P545" s="286" t="s">
        <v>2259</v>
      </c>
      <c r="Q545" s="286" t="s">
        <v>2376</v>
      </c>
      <c r="R545" s="487" t="s">
        <v>5139</v>
      </c>
    </row>
    <row r="546" spans="2:18">
      <c r="B546" s="335" t="str">
        <f t="shared" si="22"/>
        <v>Loading</v>
      </c>
      <c r="M546" s="286" t="s">
        <v>2050</v>
      </c>
      <c r="N546" s="286" t="s">
        <v>2078</v>
      </c>
      <c r="O546" s="286" t="s">
        <v>2282</v>
      </c>
      <c r="P546" s="286" t="s">
        <v>2079</v>
      </c>
      <c r="Q546" s="286" t="s">
        <v>2363</v>
      </c>
      <c r="R546" s="487" t="s">
        <v>5140</v>
      </c>
    </row>
    <row r="547" spans="2:18">
      <c r="B547" s="335" t="str">
        <f t="shared" si="22"/>
        <v>Hinges for lift-up mechanisms</v>
      </c>
      <c r="M547" s="286" t="s">
        <v>3304</v>
      </c>
      <c r="N547" s="286" t="s">
        <v>2080</v>
      </c>
      <c r="O547" s="286" t="s">
        <v>2283</v>
      </c>
      <c r="P547" s="286" t="s">
        <v>2260</v>
      </c>
      <c r="Q547" s="286" t="s">
        <v>2540</v>
      </c>
      <c r="R547" s="487" t="s">
        <v>5141</v>
      </c>
    </row>
    <row r="548" spans="2:18">
      <c r="B548" s="335" t="str">
        <f t="shared" si="22"/>
        <v>Pitch</v>
      </c>
      <c r="M548" s="286" t="s">
        <v>2083</v>
      </c>
      <c r="N548" s="286" t="s">
        <v>2083</v>
      </c>
      <c r="O548" s="286" t="s">
        <v>2084</v>
      </c>
      <c r="P548" s="286" t="s">
        <v>2085</v>
      </c>
      <c r="Q548" s="286" t="s">
        <v>2364</v>
      </c>
      <c r="R548" s="487" t="s">
        <v>5142</v>
      </c>
    </row>
    <row r="549" spans="2:18">
      <c r="B549" s="335" t="str">
        <f t="shared" si="22"/>
        <v>Handle diameter (mm)</v>
      </c>
      <c r="M549" s="286" t="s">
        <v>2307</v>
      </c>
      <c r="N549" s="286" t="s">
        <v>2308</v>
      </c>
      <c r="O549" s="286" t="s">
        <v>2309</v>
      </c>
      <c r="P549" s="286" t="s">
        <v>2310</v>
      </c>
      <c r="Q549" s="286" t="s">
        <v>2379</v>
      </c>
      <c r="R549" s="487" t="s">
        <v>5143</v>
      </c>
    </row>
    <row r="550" spans="2:18">
      <c r="B550" s="335" t="str">
        <f t="shared" si="22"/>
        <v>Handle position</v>
      </c>
      <c r="M550" s="286" t="s">
        <v>1973</v>
      </c>
      <c r="N550" s="286" t="s">
        <v>2081</v>
      </c>
      <c r="O550" s="286" t="s">
        <v>2284</v>
      </c>
      <c r="P550" s="286" t="s">
        <v>2082</v>
      </c>
      <c r="Q550" s="286" t="s">
        <v>2380</v>
      </c>
      <c r="R550" s="487" t="s">
        <v>5144</v>
      </c>
    </row>
    <row r="551" spans="2:18">
      <c r="B551" s="335" t="str">
        <f t="shared" si="22"/>
        <v>Hinges</v>
      </c>
      <c r="M551" s="286" t="s">
        <v>693</v>
      </c>
      <c r="N551" s="286" t="s">
        <v>694</v>
      </c>
      <c r="O551" s="286" t="s">
        <v>695</v>
      </c>
      <c r="P551" s="286" t="s">
        <v>696</v>
      </c>
      <c r="Q551" s="286" t="s">
        <v>2412</v>
      </c>
      <c r="R551" s="487" t="s">
        <v>4942</v>
      </c>
    </row>
    <row r="552" spans="2:18">
      <c r="B552" s="335" t="str">
        <f t="shared" si="22"/>
        <v>Lifts</v>
      </c>
      <c r="M552" s="286" t="s">
        <v>1021</v>
      </c>
      <c r="N552" s="286" t="s">
        <v>1021</v>
      </c>
      <c r="O552" s="286" t="s">
        <v>2099</v>
      </c>
      <c r="P552" s="286" t="s">
        <v>2100</v>
      </c>
      <c r="Q552" s="286" t="s">
        <v>2541</v>
      </c>
      <c r="R552" s="487" t="s">
        <v>5145</v>
      </c>
    </row>
    <row r="553" spans="2:18">
      <c r="B553" s="335" t="str">
        <f t="shared" si="22"/>
        <v>Overlay</v>
      </c>
      <c r="M553" s="328" t="s">
        <v>98</v>
      </c>
      <c r="N553" s="286" t="s">
        <v>98</v>
      </c>
      <c r="O553" s="286" t="s">
        <v>452</v>
      </c>
      <c r="P553" s="286" t="s">
        <v>528</v>
      </c>
      <c r="Q553" s="286" t="s">
        <v>2563</v>
      </c>
      <c r="R553" s="487" t="s">
        <v>4952</v>
      </c>
    </row>
    <row r="554" spans="2:18">
      <c r="B554" s="335" t="str">
        <f t="shared" ref="B554:B567" si="23">IF($D$1=1,M554,IF($D$1=2,N554,IF($D$1=3,O554,IF($D$1=4,P554,IF($D$1=5,Q554,IF($D$1=6,R554,0))))))</f>
        <v>Half-overlay</v>
      </c>
      <c r="M554" s="328" t="s">
        <v>99</v>
      </c>
      <c r="N554" s="286" t="s">
        <v>99</v>
      </c>
      <c r="O554" s="286" t="s">
        <v>453</v>
      </c>
      <c r="P554" s="286" t="s">
        <v>2210</v>
      </c>
      <c r="Q554" s="286" t="s">
        <v>2420</v>
      </c>
      <c r="R554" s="487" t="s">
        <v>5146</v>
      </c>
    </row>
    <row r="555" spans="2:18">
      <c r="B555" s="335" t="str">
        <f t="shared" si="23"/>
        <v>Inset</v>
      </c>
      <c r="M555" s="328" t="s">
        <v>100</v>
      </c>
      <c r="N555" s="286" t="s">
        <v>100</v>
      </c>
      <c r="O555" s="286" t="s">
        <v>2101</v>
      </c>
      <c r="P555" s="286" t="s">
        <v>2211</v>
      </c>
      <c r="Q555" s="286" t="s">
        <v>1660</v>
      </c>
      <c r="R555" s="487" t="s">
        <v>5147</v>
      </c>
    </row>
    <row r="556" spans="2:18">
      <c r="B556" s="335" t="str">
        <f t="shared" si="23"/>
        <v>Yes</v>
      </c>
      <c r="M556" s="328" t="s">
        <v>2136</v>
      </c>
      <c r="N556" s="286" t="s">
        <v>2142</v>
      </c>
      <c r="O556" s="286" t="s">
        <v>2141</v>
      </c>
      <c r="P556" s="286" t="s">
        <v>2138</v>
      </c>
      <c r="Q556" s="286" t="s">
        <v>2365</v>
      </c>
      <c r="R556" s="487" t="s">
        <v>5148</v>
      </c>
    </row>
    <row r="557" spans="2:18">
      <c r="B557" s="335" t="str">
        <f t="shared" si="23"/>
        <v>No</v>
      </c>
      <c r="M557" s="328" t="s">
        <v>2137</v>
      </c>
      <c r="N557" s="286" t="s">
        <v>2140</v>
      </c>
      <c r="O557" s="286" t="s">
        <v>2140</v>
      </c>
      <c r="P557" s="286" t="s">
        <v>2139</v>
      </c>
      <c r="Q557" s="286" t="s">
        <v>2366</v>
      </c>
      <c r="R557" s="487" t="s">
        <v>5149</v>
      </c>
    </row>
    <row r="558" spans="2:18">
      <c r="B558" s="335" t="str">
        <f t="shared" si="23"/>
        <v>Horizontal (delivery is 4 weeks)</v>
      </c>
      <c r="M558" s="328" t="s">
        <v>4223</v>
      </c>
      <c r="N558" s="286" t="s">
        <v>4224</v>
      </c>
      <c r="O558" s="286" t="s">
        <v>4225</v>
      </c>
      <c r="P558" s="286" t="s">
        <v>4226</v>
      </c>
      <c r="Q558" s="286" t="s">
        <v>4227</v>
      </c>
      <c r="R558" s="487" t="s">
        <v>5150</v>
      </c>
    </row>
    <row r="559" spans="2:18">
      <c r="B559" s="335" t="str">
        <f t="shared" si="23"/>
        <v>Vertical (delivery is 4 weeks)</v>
      </c>
      <c r="M559" s="328" t="s">
        <v>4228</v>
      </c>
      <c r="N559" s="286" t="s">
        <v>4229</v>
      </c>
      <c r="O559" s="286" t="s">
        <v>4230</v>
      </c>
      <c r="P559" s="286" t="s">
        <v>4231</v>
      </c>
      <c r="Q559" s="286" t="s">
        <v>4232</v>
      </c>
      <c r="R559" s="487" t="s">
        <v>5151</v>
      </c>
    </row>
    <row r="560" spans="2:18">
      <c r="B560" s="335" t="str">
        <f t="shared" si="23"/>
        <v>Horizontal and vertical (delivery is 4 weeks)</v>
      </c>
      <c r="M560" s="328" t="s">
        <v>4233</v>
      </c>
      <c r="N560" s="286" t="s">
        <v>4234</v>
      </c>
      <c r="O560" s="286" t="s">
        <v>4235</v>
      </c>
      <c r="P560" s="286" t="s">
        <v>4236</v>
      </c>
      <c r="Q560" s="286" t="s">
        <v>4237</v>
      </c>
      <c r="R560" s="487" t="s">
        <v>5152</v>
      </c>
    </row>
    <row r="561" spans="2:18">
      <c r="B561" s="335" t="str">
        <f t="shared" si="23"/>
        <v>Frame composed of two different profiles</v>
      </c>
      <c r="M561" s="286" t="s">
        <v>1939</v>
      </c>
      <c r="N561" s="286" t="s">
        <v>2144</v>
      </c>
      <c r="O561" s="286" t="s">
        <v>2285</v>
      </c>
      <c r="P561" s="286" t="s">
        <v>2145</v>
      </c>
      <c r="Q561" s="286" t="s">
        <v>2542</v>
      </c>
      <c r="R561" s="487" t="s">
        <v>5153</v>
      </c>
    </row>
    <row r="562" spans="2:18">
      <c r="B562" s="335" t="str">
        <f t="shared" si="23"/>
        <v>Type of foil</v>
      </c>
      <c r="M562" s="328" t="s">
        <v>1875</v>
      </c>
      <c r="N562" s="286" t="s">
        <v>2172</v>
      </c>
      <c r="O562" s="286" t="s">
        <v>2173</v>
      </c>
      <c r="P562" s="286" t="s">
        <v>2174</v>
      </c>
      <c r="Q562" s="286" t="s">
        <v>2543</v>
      </c>
      <c r="R562" s="487" t="s">
        <v>5154</v>
      </c>
    </row>
    <row r="563" spans="2:18">
      <c r="B563" s="335" t="str">
        <f t="shared" si="23"/>
        <v>Transparent</v>
      </c>
      <c r="M563" s="286" t="s">
        <v>1886</v>
      </c>
      <c r="N563" s="286" t="s">
        <v>2175</v>
      </c>
      <c r="O563" s="286" t="s">
        <v>2286</v>
      </c>
      <c r="P563" s="286" t="s">
        <v>2178</v>
      </c>
      <c r="Q563" s="286" t="s">
        <v>2367</v>
      </c>
      <c r="R563" s="487" t="s">
        <v>2367</v>
      </c>
    </row>
    <row r="564" spans="2:18">
      <c r="B564" s="335" t="str">
        <f t="shared" si="23"/>
        <v>White</v>
      </c>
      <c r="M564" s="286" t="s">
        <v>1889</v>
      </c>
      <c r="N564" s="286" t="s">
        <v>2176</v>
      </c>
      <c r="O564" s="286" t="s">
        <v>2287</v>
      </c>
      <c r="P564" s="286" t="s">
        <v>2261</v>
      </c>
      <c r="Q564" s="286" t="s">
        <v>2368</v>
      </c>
      <c r="R564" s="487" t="s">
        <v>5155</v>
      </c>
    </row>
    <row r="565" spans="2:18">
      <c r="B565" s="335" t="str">
        <f t="shared" si="23"/>
        <v>Black</v>
      </c>
      <c r="M565" s="286" t="s">
        <v>1892</v>
      </c>
      <c r="N565" s="286" t="s">
        <v>2177</v>
      </c>
      <c r="O565" s="286" t="s">
        <v>2288</v>
      </c>
      <c r="P565" s="286" t="s">
        <v>2179</v>
      </c>
      <c r="Q565" s="286" t="s">
        <v>2369</v>
      </c>
      <c r="R565" s="487" t="s">
        <v>5156</v>
      </c>
    </row>
    <row r="566" spans="2:18">
      <c r="B566" s="335" t="str">
        <f t="shared" si="23"/>
        <v>Next</v>
      </c>
      <c r="M566" s="286" t="s">
        <v>2187</v>
      </c>
      <c r="N566" s="286" t="s">
        <v>2188</v>
      </c>
      <c r="O566" s="286" t="s">
        <v>2289</v>
      </c>
      <c r="P566" s="286" t="s">
        <v>2189</v>
      </c>
      <c r="Q566" s="286" t="s">
        <v>2370</v>
      </c>
      <c r="R566" s="487" t="s">
        <v>5157</v>
      </c>
    </row>
    <row r="567" spans="2:18">
      <c r="B567" s="335" t="str">
        <f t="shared" si="23"/>
        <v>Summary</v>
      </c>
      <c r="M567" s="286" t="s">
        <v>2066</v>
      </c>
      <c r="N567" s="286" t="s">
        <v>2192</v>
      </c>
      <c r="O567" s="286" t="s">
        <v>2190</v>
      </c>
      <c r="P567" s="286" t="s">
        <v>2191</v>
      </c>
      <c r="Q567" s="286" t="s">
        <v>2371</v>
      </c>
      <c r="R567" s="487" t="s">
        <v>5158</v>
      </c>
    </row>
    <row r="568" spans="2:18">
      <c r="B568" s="335" t="str">
        <f t="shared" ref="B568:B570" si="24">IF($D$1=1,M568,IF($D$1=2,N568,IF($D$1=3,O568,IF($D$1=4,P568,IF($D$1=5,Q568,0)))))</f>
        <v>Varna elox (Left and Right) + Siena (Top and Bottom)</v>
      </c>
      <c r="M568" s="286" t="e">
        <f>#REF!</f>
        <v>#REF!</v>
      </c>
      <c r="Q568" s="286" t="s">
        <v>3424</v>
      </c>
    </row>
    <row r="569" spans="2:18">
      <c r="B569" s="335" t="str">
        <f t="shared" si="24"/>
        <v>Varna elox (Left and Right) + Palio (Top and Bottom)</v>
      </c>
      <c r="M569" s="286" t="e">
        <f>#REF!</f>
        <v>#REF!</v>
      </c>
      <c r="Q569" s="286" t="s">
        <v>3425</v>
      </c>
    </row>
    <row r="570" spans="2:18">
      <c r="B570" s="335" t="str">
        <f t="shared" si="24"/>
        <v>Varna elox (Left and Right) + Rocca (Top and Bottom)</v>
      </c>
      <c r="M570" s="286">
        <f>$B$83</f>
        <v>0</v>
      </c>
      <c r="Q570" s="286" t="s">
        <v>3426</v>
      </c>
    </row>
    <row r="571" spans="2:18">
      <c r="B571" s="335" t="str">
        <f t="shared" ref="B571:B634" si="25">IF($D$1=1,M571,IF($D$1=2,N571,IF($D$1=3,O571,IF($D$1=4,P571,IF($D$1=5,Q571,IF($D$1=6,R571,0))))))</f>
        <v>The view of the dividers is only illustrative and does not show the selected number of dividers horizontally/vertically.</v>
      </c>
      <c r="M571" s="286" t="s">
        <v>4101</v>
      </c>
      <c r="N571" s="286" t="s">
        <v>4103</v>
      </c>
      <c r="O571" s="286" t="s">
        <v>4102</v>
      </c>
      <c r="P571" s="286" t="s">
        <v>4104</v>
      </c>
      <c r="Q571" s="286" t="s">
        <v>2544</v>
      </c>
      <c r="R571" s="487" t="s">
        <v>5355</v>
      </c>
    </row>
    <row r="572" spans="2:18">
      <c r="B572" s="335" t="str">
        <f t="shared" si="25"/>
        <v>Warning:</v>
      </c>
      <c r="M572" s="286" t="s">
        <v>4632</v>
      </c>
      <c r="N572" s="286" t="s">
        <v>4631</v>
      </c>
      <c r="O572" s="286" t="s">
        <v>4630</v>
      </c>
      <c r="P572" s="286" t="s">
        <v>4633</v>
      </c>
      <c r="Q572" s="286" t="s">
        <v>4634</v>
      </c>
      <c r="R572" s="487" t="s">
        <v>5356</v>
      </c>
    </row>
    <row r="573" spans="2:18">
      <c r="B573" s="335" t="str">
        <f t="shared" si="25"/>
        <v>Do not change after you make a choice type of glass/mesh</v>
      </c>
      <c r="M573" s="286" t="s">
        <v>5424</v>
      </c>
      <c r="N573" s="286" t="s">
        <v>5425</v>
      </c>
      <c r="O573" s="286" t="s">
        <v>5426</v>
      </c>
      <c r="P573" s="286" t="s">
        <v>5427</v>
      </c>
      <c r="Q573" s="286" t="s">
        <v>5428</v>
      </c>
      <c r="R573" s="487" t="s">
        <v>5429</v>
      </c>
    </row>
    <row r="574" spans="2:18">
      <c r="B574" s="335" t="str">
        <f t="shared" si="25"/>
        <v>Back</v>
      </c>
      <c r="M574" s="286" t="s">
        <v>2290</v>
      </c>
      <c r="N574" s="286" t="s">
        <v>2293</v>
      </c>
      <c r="O574" s="286" t="s">
        <v>2292</v>
      </c>
      <c r="P574" s="286" t="s">
        <v>2291</v>
      </c>
      <c r="Q574" s="286" t="s">
        <v>2372</v>
      </c>
      <c r="R574" s="487" t="s">
        <v>5357</v>
      </c>
    </row>
    <row r="575" spans="2:18">
      <c r="B575" s="335" t="str">
        <f t="shared" si="25"/>
        <v>Default distance from the edge is set at 100mm (minimum 80mm). In case of different distances between hinges, please make a note (in mm).</v>
      </c>
      <c r="M575" s="286" t="s">
        <v>2295</v>
      </c>
      <c r="N575" s="286" t="s">
        <v>2296</v>
      </c>
      <c r="O575" s="286" t="s">
        <v>2297</v>
      </c>
      <c r="P575" s="286" t="s">
        <v>3048</v>
      </c>
      <c r="Q575" s="286" t="s">
        <v>2545</v>
      </c>
      <c r="R575" s="487" t="s">
        <v>5358</v>
      </c>
    </row>
    <row r="576" spans="2:18" ht="150">
      <c r="B576" s="335" t="str">
        <f t="shared" si="25"/>
        <v>Please specify distance from edge of the frame to holes for handle in green box.
If you require drilling the handle to the center of the frame and the center of the profile, please enter "x" in both cells.</v>
      </c>
      <c r="M576" s="356" t="s">
        <v>2580</v>
      </c>
      <c r="N576" s="356" t="s">
        <v>2909</v>
      </c>
      <c r="O576" s="356" t="s">
        <v>4629</v>
      </c>
      <c r="P576" s="356" t="s">
        <v>3047</v>
      </c>
      <c r="Q576" s="356" t="s">
        <v>2581</v>
      </c>
      <c r="R576" s="492" t="s">
        <v>5359</v>
      </c>
    </row>
    <row r="577" spans="2:18">
      <c r="B577" s="335" t="str">
        <f t="shared" si="25"/>
        <v>When using hinges, the maximal recommended size is 600mm</v>
      </c>
      <c r="M577" s="286" t="s">
        <v>4598</v>
      </c>
      <c r="N577" s="286" t="s">
        <v>4599</v>
      </c>
      <c r="O577" s="286" t="s">
        <v>4600</v>
      </c>
      <c r="P577" s="286" t="s">
        <v>4601</v>
      </c>
      <c r="Q577" s="286" t="s">
        <v>4602</v>
      </c>
      <c r="R577" s="487" t="s">
        <v>5360</v>
      </c>
    </row>
    <row r="578" spans="2:18">
      <c r="B578" s="335" t="str">
        <f t="shared" si="25"/>
        <v>Varna black - the manufacturer recommends a length of max. 1200 mm</v>
      </c>
      <c r="M578" s="286" t="s">
        <v>2393</v>
      </c>
      <c r="N578" s="286" t="s">
        <v>2394</v>
      </c>
      <c r="O578" s="286" t="s">
        <v>2395</v>
      </c>
      <c r="P578" s="286" t="s">
        <v>2396</v>
      </c>
      <c r="Q578" s="286" t="s">
        <v>2397</v>
      </c>
      <c r="R578" s="487" t="s">
        <v>5361</v>
      </c>
    </row>
    <row r="579" spans="2:18">
      <c r="B579" s="335" t="str">
        <f t="shared" si="25"/>
        <v>Varna black - the manufacturer recommends a length of max. 1200 mm</v>
      </c>
      <c r="M579" s="286" t="s">
        <v>2393</v>
      </c>
      <c r="N579" s="286" t="s">
        <v>2398</v>
      </c>
      <c r="O579" s="286" t="s">
        <v>2395</v>
      </c>
      <c r="P579" s="286" t="s">
        <v>2396</v>
      </c>
      <c r="Q579" s="286" t="s">
        <v>2397</v>
      </c>
      <c r="R579" s="487" t="s">
        <v>5361</v>
      </c>
    </row>
    <row r="580" spans="2:18" ht="67.900000000000006" customHeight="1">
      <c r="B580" s="335" t="str">
        <f t="shared" si="25"/>
        <v>Rocca black length max. 2150 mm 
Varna black length max. 1200 mm</v>
      </c>
      <c r="M580" s="356" t="s">
        <v>4096</v>
      </c>
      <c r="N580" s="356" t="s">
        <v>4097</v>
      </c>
      <c r="O580" s="356" t="s">
        <v>4098</v>
      </c>
      <c r="P580" s="356" t="s">
        <v>4099</v>
      </c>
      <c r="Q580" s="356" t="s">
        <v>4100</v>
      </c>
      <c r="R580" s="493" t="s">
        <v>5362</v>
      </c>
    </row>
    <row r="581" spans="2:18">
      <c r="B581" s="335" t="str">
        <f t="shared" si="25"/>
        <v>Glass order</v>
      </c>
      <c r="M581" s="286" t="s">
        <v>2399</v>
      </c>
      <c r="N581" s="286" t="s">
        <v>2399</v>
      </c>
      <c r="O581" s="286" t="s">
        <v>2400</v>
      </c>
      <c r="P581" s="286" t="s">
        <v>2401</v>
      </c>
      <c r="Q581" s="286" t="s">
        <v>2402</v>
      </c>
      <c r="R581" s="487" t="s">
        <v>5363</v>
      </c>
    </row>
    <row r="582" spans="2:18">
      <c r="B582" s="335" t="str">
        <f t="shared" si="25"/>
        <v>with spring and damping</v>
      </c>
      <c r="M582" s="286" t="s">
        <v>3064</v>
      </c>
      <c r="N582" s="286" t="s">
        <v>3067</v>
      </c>
      <c r="O582" s="286" t="s">
        <v>3070</v>
      </c>
      <c r="P582" s="286" t="s">
        <v>3073</v>
      </c>
      <c r="Q582" s="286" t="s">
        <v>3076</v>
      </c>
      <c r="R582" s="487" t="s">
        <v>5364</v>
      </c>
    </row>
    <row r="583" spans="2:18">
      <c r="B583" s="335" t="str">
        <f t="shared" si="25"/>
        <v>without damping</v>
      </c>
      <c r="M583" s="286" t="s">
        <v>3065</v>
      </c>
      <c r="N583" s="286" t="s">
        <v>3068</v>
      </c>
      <c r="O583" s="286" t="s">
        <v>3071</v>
      </c>
      <c r="P583" s="286" t="s">
        <v>3074</v>
      </c>
      <c r="Q583" s="286" t="s">
        <v>3077</v>
      </c>
      <c r="R583" s="487" t="s">
        <v>5365</v>
      </c>
    </row>
    <row r="584" spans="2:18">
      <c r="B584" s="335" t="str">
        <f t="shared" si="25"/>
        <v>tip-on without spring / damping</v>
      </c>
      <c r="M584" s="286" t="s">
        <v>3066</v>
      </c>
      <c r="N584" s="286" t="s">
        <v>3069</v>
      </c>
      <c r="O584" s="286" t="s">
        <v>3072</v>
      </c>
      <c r="P584" s="286" t="s">
        <v>3075</v>
      </c>
      <c r="Q584" s="286" t="s">
        <v>3078</v>
      </c>
      <c r="R584" s="487" t="s">
        <v>5366</v>
      </c>
    </row>
    <row r="585" spans="2:18">
      <c r="B585" s="335" t="str">
        <f t="shared" si="25"/>
        <v>silver</v>
      </c>
      <c r="M585" s="286" t="s">
        <v>2045</v>
      </c>
      <c r="N585" s="286" t="s">
        <v>2568</v>
      </c>
      <c r="O585" s="286" t="s">
        <v>2569</v>
      </c>
      <c r="P585" s="286" t="s">
        <v>2564</v>
      </c>
      <c r="Q585" s="286" t="s">
        <v>2566</v>
      </c>
      <c r="R585" s="487" t="s">
        <v>5367</v>
      </c>
    </row>
    <row r="586" spans="2:18">
      <c r="B586" s="335" t="str">
        <f t="shared" si="25"/>
        <v>black</v>
      </c>
      <c r="M586" s="286" t="s">
        <v>2047</v>
      </c>
      <c r="N586" s="286" t="s">
        <v>2177</v>
      </c>
      <c r="O586" s="286" t="s">
        <v>2570</v>
      </c>
      <c r="P586" s="286" t="s">
        <v>2565</v>
      </c>
      <c r="Q586" s="286" t="s">
        <v>2567</v>
      </c>
      <c r="R586" s="487" t="s">
        <v>5368</v>
      </c>
    </row>
    <row r="587" spans="2:18">
      <c r="B587" s="335" t="str">
        <f t="shared" si="25"/>
        <v>When used with glass, the maximum recommended dimension is 1500 x 600 mm</v>
      </c>
      <c r="M587" s="286" t="s">
        <v>2584</v>
      </c>
      <c r="N587" s="286" t="s">
        <v>2587</v>
      </c>
      <c r="O587" s="286" t="s">
        <v>2585</v>
      </c>
      <c r="P587" s="286" t="s">
        <v>2586</v>
      </c>
      <c r="Q587" s="286" t="s">
        <v>2583</v>
      </c>
      <c r="R587" s="487" t="s">
        <v>5159</v>
      </c>
    </row>
    <row r="588" spans="2:18">
      <c r="B588" s="286" t="s">
        <v>2908</v>
      </c>
      <c r="R588" s="487"/>
    </row>
    <row r="589" spans="2:18">
      <c r="B589" s="335" t="str">
        <f t="shared" si="25"/>
        <v>(bottom)</v>
      </c>
      <c r="M589" t="s">
        <v>4241</v>
      </c>
      <c r="N589" s="286" t="s">
        <v>2910</v>
      </c>
      <c r="O589" s="286" t="s">
        <v>2922</v>
      </c>
      <c r="P589" s="286" t="s">
        <v>2914</v>
      </c>
      <c r="Q589" s="286" t="s">
        <v>2918</v>
      </c>
      <c r="R589" t="s">
        <v>5160</v>
      </c>
    </row>
    <row r="590" spans="2:18">
      <c r="B590" s="335" t="str">
        <f t="shared" si="25"/>
        <v>(left)</v>
      </c>
      <c r="M590" t="s">
        <v>4242</v>
      </c>
      <c r="N590" s="286" t="s">
        <v>2911</v>
      </c>
      <c r="O590" s="286" t="s">
        <v>2923</v>
      </c>
      <c r="P590" s="286" t="s">
        <v>2915</v>
      </c>
      <c r="Q590" s="286" t="s">
        <v>2919</v>
      </c>
      <c r="R590" t="s">
        <v>5161</v>
      </c>
    </row>
    <row r="591" spans="2:18">
      <c r="B591" s="335" t="str">
        <f t="shared" si="25"/>
        <v>(upper)</v>
      </c>
      <c r="M591" t="s">
        <v>4243</v>
      </c>
      <c r="N591" s="286" t="s">
        <v>2912</v>
      </c>
      <c r="O591" s="286" t="s">
        <v>2924</v>
      </c>
      <c r="P591" s="286" t="s">
        <v>2916</v>
      </c>
      <c r="Q591" s="286" t="s">
        <v>2920</v>
      </c>
      <c r="R591" t="s">
        <v>5162</v>
      </c>
    </row>
    <row r="592" spans="2:18">
      <c r="B592" s="335" t="str">
        <f t="shared" si="25"/>
        <v>(right)</v>
      </c>
      <c r="M592" t="s">
        <v>2913</v>
      </c>
      <c r="N592" s="286" t="s">
        <v>2913</v>
      </c>
      <c r="O592" s="286" t="s">
        <v>2925</v>
      </c>
      <c r="P592" s="286" t="s">
        <v>2917</v>
      </c>
      <c r="Q592" s="286" t="s">
        <v>2921</v>
      </c>
      <c r="R592" t="s">
        <v>5163</v>
      </c>
    </row>
    <row r="593" spans="2:18">
      <c r="B593" s="335" t="str">
        <f t="shared" si="25"/>
        <v>275672 -autom., 30N grey</v>
      </c>
      <c r="M593" s="286" t="s">
        <v>2927</v>
      </c>
      <c r="N593" s="286" t="s">
        <v>2928</v>
      </c>
      <c r="O593" s="286" t="s">
        <v>2929</v>
      </c>
      <c r="P593" s="286" t="s">
        <v>2930</v>
      </c>
      <c r="Q593" s="286" t="s">
        <v>2931</v>
      </c>
      <c r="R593" t="s">
        <v>5164</v>
      </c>
    </row>
    <row r="594" spans="2:18">
      <c r="B594" s="335" t="str">
        <f t="shared" si="25"/>
        <v>275673 -autom., 60N grey</v>
      </c>
      <c r="M594" s="286" t="s">
        <v>2932</v>
      </c>
      <c r="N594" s="286" t="s">
        <v>2933</v>
      </c>
      <c r="O594" s="286" t="s">
        <v>2934</v>
      </c>
      <c r="P594" s="286" t="s">
        <v>2935</v>
      </c>
      <c r="Q594" s="286" t="s">
        <v>2936</v>
      </c>
      <c r="R594" t="s">
        <v>5165</v>
      </c>
    </row>
    <row r="595" spans="2:18">
      <c r="B595" s="335" t="str">
        <f t="shared" si="25"/>
        <v>275674 -autom., 80N grey</v>
      </c>
      <c r="M595" s="286" t="s">
        <v>2937</v>
      </c>
      <c r="N595" s="286" t="s">
        <v>2938</v>
      </c>
      <c r="O595" s="286" t="s">
        <v>2939</v>
      </c>
      <c r="P595" s="286" t="s">
        <v>2940</v>
      </c>
      <c r="Q595" s="286" t="s">
        <v>2941</v>
      </c>
      <c r="R595" t="s">
        <v>5166</v>
      </c>
    </row>
    <row r="596" spans="2:18">
      <c r="B596" s="335" t="str">
        <f t="shared" si="25"/>
        <v>275675 -autom., 100N grey</v>
      </c>
      <c r="M596" s="286" t="s">
        <v>2942</v>
      </c>
      <c r="N596" s="286" t="s">
        <v>2943</v>
      </c>
      <c r="O596" s="286" t="s">
        <v>2944</v>
      </c>
      <c r="P596" s="286" t="s">
        <v>2945</v>
      </c>
      <c r="Q596" s="286" t="s">
        <v>2946</v>
      </c>
      <c r="R596" t="s">
        <v>5167</v>
      </c>
    </row>
    <row r="597" spans="2:18">
      <c r="B597" s="335" t="str">
        <f t="shared" si="25"/>
        <v>275676 -autom., 120N grey</v>
      </c>
      <c r="M597" s="286" t="s">
        <v>2947</v>
      </c>
      <c r="N597" s="286" t="s">
        <v>2948</v>
      </c>
      <c r="O597" s="286" t="s">
        <v>2949</v>
      </c>
      <c r="P597" s="286" t="s">
        <v>2950</v>
      </c>
      <c r="Q597" s="286" t="s">
        <v>2951</v>
      </c>
      <c r="R597" t="s">
        <v>5168</v>
      </c>
    </row>
    <row r="598" spans="2:18">
      <c r="B598" s="357" t="s">
        <v>2926</v>
      </c>
      <c r="R598"/>
    </row>
    <row r="599" spans="2:18">
      <c r="B599" s="335" t="str">
        <f t="shared" si="25"/>
        <v>248162 -autom., 30N white</v>
      </c>
      <c r="M599" s="286" t="s">
        <v>2952</v>
      </c>
      <c r="N599" s="286" t="s">
        <v>2953</v>
      </c>
      <c r="O599" s="286" t="s">
        <v>2954</v>
      </c>
      <c r="P599" s="286" t="s">
        <v>2955</v>
      </c>
      <c r="Q599" s="286" t="s">
        <v>2956</v>
      </c>
      <c r="R599" t="s">
        <v>5169</v>
      </c>
    </row>
    <row r="600" spans="2:18">
      <c r="B600" s="335" t="str">
        <f t="shared" si="25"/>
        <v>248163 -autom., 60N white</v>
      </c>
      <c r="M600" s="286" t="s">
        <v>2957</v>
      </c>
      <c r="N600" s="286" t="s">
        <v>2958</v>
      </c>
      <c r="O600" s="286" t="s">
        <v>2959</v>
      </c>
      <c r="P600" s="286" t="s">
        <v>2960</v>
      </c>
      <c r="Q600" s="286" t="s">
        <v>2961</v>
      </c>
      <c r="R600" t="s">
        <v>5170</v>
      </c>
    </row>
    <row r="601" spans="2:18">
      <c r="B601" s="335" t="str">
        <f t="shared" si="25"/>
        <v>248164 -autom., 80N white</v>
      </c>
      <c r="M601" s="286" t="s">
        <v>2962</v>
      </c>
      <c r="N601" s="286" t="s">
        <v>2963</v>
      </c>
      <c r="O601" s="286" t="s">
        <v>2964</v>
      </c>
      <c r="P601" s="286" t="s">
        <v>2965</v>
      </c>
      <c r="Q601" s="286" t="s">
        <v>2966</v>
      </c>
      <c r="R601" t="s">
        <v>5171</v>
      </c>
    </row>
    <row r="602" spans="2:18">
      <c r="B602" s="335" t="str">
        <f t="shared" si="25"/>
        <v>248165 -autom., 100N white</v>
      </c>
      <c r="M602" s="286" t="s">
        <v>2967</v>
      </c>
      <c r="N602" s="286" t="s">
        <v>2968</v>
      </c>
      <c r="O602" s="286" t="s">
        <v>2969</v>
      </c>
      <c r="P602" s="286" t="s">
        <v>2970</v>
      </c>
      <c r="Q602" s="286" t="s">
        <v>2971</v>
      </c>
      <c r="R602" t="s">
        <v>5172</v>
      </c>
    </row>
    <row r="603" spans="2:18">
      <c r="B603" s="335" t="str">
        <f t="shared" si="25"/>
        <v>248166 -autom., 120N white</v>
      </c>
      <c r="M603" s="286" t="s">
        <v>2972</v>
      </c>
      <c r="N603" s="286" t="s">
        <v>2973</v>
      </c>
      <c r="O603" s="286" t="s">
        <v>2974</v>
      </c>
      <c r="P603" s="286" t="s">
        <v>2975</v>
      </c>
      <c r="Q603" s="286" t="s">
        <v>2976</v>
      </c>
      <c r="R603" t="s">
        <v>5173</v>
      </c>
    </row>
    <row r="604" spans="2:18">
      <c r="B604" s="335" t="str">
        <f t="shared" si="25"/>
        <v>284250 - positio., 60N grey</v>
      </c>
      <c r="M604" s="286" t="s">
        <v>2977</v>
      </c>
      <c r="N604" s="286" t="s">
        <v>2978</v>
      </c>
      <c r="O604" s="286" t="s">
        <v>2979</v>
      </c>
      <c r="P604" s="286" t="s">
        <v>2980</v>
      </c>
      <c r="Q604" s="286" t="s">
        <v>2981</v>
      </c>
      <c r="R604" t="s">
        <v>5174</v>
      </c>
    </row>
    <row r="605" spans="2:18">
      <c r="B605" s="357" t="s">
        <v>2926</v>
      </c>
      <c r="R605"/>
    </row>
    <row r="606" spans="2:18">
      <c r="B606" s="335" t="str">
        <f t="shared" si="25"/>
        <v>284251 - positio., 80N grey</v>
      </c>
      <c r="M606" s="286" t="s">
        <v>2982</v>
      </c>
      <c r="N606" s="286" t="s">
        <v>2983</v>
      </c>
      <c r="O606" s="286" t="s">
        <v>2984</v>
      </c>
      <c r="P606" s="286" t="s">
        <v>2985</v>
      </c>
      <c r="Q606" s="286" t="s">
        <v>2986</v>
      </c>
      <c r="R606" t="s">
        <v>5175</v>
      </c>
    </row>
    <row r="607" spans="2:18">
      <c r="B607" s="335" t="str">
        <f t="shared" si="25"/>
        <v>284252 - positio., 100N grey</v>
      </c>
      <c r="M607" s="286" t="s">
        <v>2987</v>
      </c>
      <c r="N607" s="286" t="s">
        <v>2988</v>
      </c>
      <c r="O607" s="286" t="s">
        <v>2989</v>
      </c>
      <c r="P607" s="286" t="s">
        <v>2990</v>
      </c>
      <c r="Q607" s="286" t="s">
        <v>2991</v>
      </c>
      <c r="R607" t="s">
        <v>5176</v>
      </c>
    </row>
    <row r="608" spans="2:18">
      <c r="B608" s="335" t="str">
        <f t="shared" si="25"/>
        <v>284253 - positio., 120N grey</v>
      </c>
      <c r="M608" s="286" t="s">
        <v>2992</v>
      </c>
      <c r="N608" s="286" t="s">
        <v>2993</v>
      </c>
      <c r="O608" s="286" t="s">
        <v>2994</v>
      </c>
      <c r="P608" s="286" t="s">
        <v>2995</v>
      </c>
      <c r="Q608" s="286" t="s">
        <v>2996</v>
      </c>
      <c r="R608" t="s">
        <v>5177</v>
      </c>
    </row>
    <row r="609" spans="2:18">
      <c r="B609" s="335" t="str">
        <f t="shared" si="25"/>
        <v>284254 - positio., 60N white</v>
      </c>
      <c r="M609" s="286" t="s">
        <v>2997</v>
      </c>
      <c r="N609" s="286" t="s">
        <v>2998</v>
      </c>
      <c r="O609" s="286" t="s">
        <v>2999</v>
      </c>
      <c r="P609" s="286" t="s">
        <v>3000</v>
      </c>
      <c r="Q609" s="286" t="s">
        <v>3001</v>
      </c>
      <c r="R609" t="s">
        <v>5178</v>
      </c>
    </row>
    <row r="610" spans="2:18">
      <c r="B610" s="335" t="str">
        <f t="shared" si="25"/>
        <v>284255 - positio., 80N white</v>
      </c>
      <c r="M610" s="286" t="s">
        <v>3002</v>
      </c>
      <c r="N610" s="286" t="s">
        <v>3003</v>
      </c>
      <c r="O610" s="286" t="s">
        <v>3004</v>
      </c>
      <c r="P610" s="286" t="s">
        <v>3005</v>
      </c>
      <c r="Q610" s="286" t="s">
        <v>3006</v>
      </c>
      <c r="R610" t="s">
        <v>5179</v>
      </c>
    </row>
    <row r="611" spans="2:18">
      <c r="B611" s="335" t="str">
        <f t="shared" si="25"/>
        <v>284256 - positio., 100N white</v>
      </c>
      <c r="M611" s="286" t="s">
        <v>3007</v>
      </c>
      <c r="N611" s="286" t="s">
        <v>3008</v>
      </c>
      <c r="O611" s="286" t="s">
        <v>3009</v>
      </c>
      <c r="P611" s="286" t="s">
        <v>3010</v>
      </c>
      <c r="Q611" s="286" t="s">
        <v>3011</v>
      </c>
      <c r="R611" t="s">
        <v>5180</v>
      </c>
    </row>
    <row r="612" spans="2:18">
      <c r="B612" s="335" t="str">
        <f t="shared" si="25"/>
        <v>284257 - positio., 120N white</v>
      </c>
      <c r="M612" s="286" t="s">
        <v>3012</v>
      </c>
      <c r="N612" s="286" t="s">
        <v>3013</v>
      </c>
      <c r="O612" s="286" t="s">
        <v>3014</v>
      </c>
      <c r="P612" s="286" t="s">
        <v>3015</v>
      </c>
      <c r="Q612" s="286" t="s">
        <v>3016</v>
      </c>
      <c r="R612" t="s">
        <v>5181</v>
      </c>
    </row>
    <row r="613" spans="2:18">
      <c r="B613" s="357" t="s">
        <v>2926</v>
      </c>
      <c r="R613" s="487"/>
    </row>
    <row r="614" spans="2:18">
      <c r="B614" s="335" t="str">
        <f t="shared" si="25"/>
        <v>275689 - bottom, 80N grey</v>
      </c>
      <c r="M614" s="286" t="s">
        <v>4323</v>
      </c>
      <c r="N614" s="286" t="s">
        <v>3017</v>
      </c>
      <c r="O614" s="286" t="s">
        <v>3018</v>
      </c>
      <c r="P614" s="286" t="s">
        <v>3019</v>
      </c>
      <c r="Q614" s="286" t="s">
        <v>3020</v>
      </c>
      <c r="R614" s="487" t="s">
        <v>5369</v>
      </c>
    </row>
    <row r="615" spans="2:18">
      <c r="B615" s="335" t="str">
        <f t="shared" si="25"/>
        <v>248167 - bottom, 80N white</v>
      </c>
      <c r="M615" s="286" t="s">
        <v>4324</v>
      </c>
      <c r="N615" s="286" t="s">
        <v>3021</v>
      </c>
      <c r="O615" s="286" t="s">
        <v>3022</v>
      </c>
      <c r="P615" s="286" t="s">
        <v>3023</v>
      </c>
      <c r="Q615" s="286" t="s">
        <v>3024</v>
      </c>
      <c r="R615" s="487" t="s">
        <v>5370</v>
      </c>
    </row>
    <row r="616" spans="2:18">
      <c r="B616" s="335" t="str">
        <f t="shared" si="25"/>
        <v>507355-22L3200-cabinet height=300 – 339 mm</v>
      </c>
      <c r="M616" s="286" t="s">
        <v>3271</v>
      </c>
      <c r="N616" s="286" t="s">
        <v>3275</v>
      </c>
      <c r="O616" s="286" t="s">
        <v>3279</v>
      </c>
      <c r="P616" s="286" t="s">
        <v>3283</v>
      </c>
      <c r="Q616" s="286" t="s">
        <v>3287</v>
      </c>
      <c r="R616" s="487" t="s">
        <v>5371</v>
      </c>
    </row>
    <row r="617" spans="2:18">
      <c r="B617" s="335" t="str">
        <f t="shared" si="25"/>
        <v>507356-22L3500-cabinet height=340 – 389 mm</v>
      </c>
      <c r="M617" s="286" t="s">
        <v>3272</v>
      </c>
      <c r="N617" s="286" t="s">
        <v>3276</v>
      </c>
      <c r="O617" s="286" t="s">
        <v>3280</v>
      </c>
      <c r="P617" s="286" t="s">
        <v>3284</v>
      </c>
      <c r="Q617" s="286" t="s">
        <v>3288</v>
      </c>
      <c r="R617" s="487" t="s">
        <v>5372</v>
      </c>
    </row>
    <row r="618" spans="2:18">
      <c r="B618" s="335" t="str">
        <f t="shared" si="25"/>
        <v>507357-22L3800-cabinet height=390 – 540 mm</v>
      </c>
      <c r="M618" s="286" t="s">
        <v>3273</v>
      </c>
      <c r="N618" s="286" t="s">
        <v>3277</v>
      </c>
      <c r="O618" s="286" t="s">
        <v>3281</v>
      </c>
      <c r="P618" s="286" t="s">
        <v>3285</v>
      </c>
      <c r="Q618" s="286" t="s">
        <v>3289</v>
      </c>
      <c r="R618" s="487" t="s">
        <v>5373</v>
      </c>
    </row>
    <row r="619" spans="2:18">
      <c r="B619" s="335" t="str">
        <f t="shared" si="25"/>
        <v>507358-22L3900-cabinet height=480 – 580 mm</v>
      </c>
      <c r="M619" s="286" t="s">
        <v>3274</v>
      </c>
      <c r="N619" s="286" t="s">
        <v>3278</v>
      </c>
      <c r="O619" s="286" t="s">
        <v>3282</v>
      </c>
      <c r="P619" s="286" t="s">
        <v>3286</v>
      </c>
      <c r="Q619" s="286" t="s">
        <v>3290</v>
      </c>
      <c r="R619" s="487" t="s">
        <v>5374</v>
      </c>
    </row>
    <row r="620" spans="2:18">
      <c r="B620" s="335" t="str">
        <f t="shared" si="25"/>
        <v>Servo:</v>
      </c>
      <c r="M620" s="286" t="s">
        <v>3025</v>
      </c>
      <c r="N620" s="286" t="s">
        <v>3025</v>
      </c>
      <c r="O620" s="286" t="s">
        <v>3025</v>
      </c>
      <c r="P620" s="286" t="s">
        <v>3025</v>
      </c>
      <c r="Q620" s="286" t="s">
        <v>3025</v>
      </c>
      <c r="R620" s="487" t="s">
        <v>5375</v>
      </c>
    </row>
    <row r="621" spans="2:18">
      <c r="B621" s="335" t="str">
        <f t="shared" si="25"/>
        <v>197612-21L3200.01-cabinet height=300 – 349 mm</v>
      </c>
      <c r="M621" s="286" t="s">
        <v>3026</v>
      </c>
      <c r="N621" s="286" t="s">
        <v>3027</v>
      </c>
      <c r="O621" s="286" t="s">
        <v>3028</v>
      </c>
      <c r="P621" s="286" t="s">
        <v>3029</v>
      </c>
      <c r="Q621" s="286" t="s">
        <v>3030</v>
      </c>
      <c r="R621" s="487" t="s">
        <v>5376</v>
      </c>
    </row>
    <row r="622" spans="2:18">
      <c r="B622" s="335" t="str">
        <f t="shared" si="25"/>
        <v>197613-21L3500.01-cabinet height=350 – 399 mm</v>
      </c>
      <c r="M622" s="286" t="s">
        <v>3031</v>
      </c>
      <c r="N622" s="286" t="s">
        <v>3032</v>
      </c>
      <c r="O622" s="286" t="s">
        <v>3033</v>
      </c>
      <c r="P622" s="286" t="s">
        <v>3034</v>
      </c>
      <c r="Q622" s="286" t="s">
        <v>3035</v>
      </c>
      <c r="R622" s="487" t="s">
        <v>5377</v>
      </c>
    </row>
    <row r="623" spans="2:18">
      <c r="B623" s="335" t="str">
        <f t="shared" si="25"/>
        <v>197614-21L3800.01-cabinet height=400 – 550 mm</v>
      </c>
      <c r="M623" s="286" t="s">
        <v>3036</v>
      </c>
      <c r="N623" s="286" t="s">
        <v>3037</v>
      </c>
      <c r="O623" s="286" t="s">
        <v>3038</v>
      </c>
      <c r="P623" s="286" t="s">
        <v>3039</v>
      </c>
      <c r="Q623" s="286" t="s">
        <v>3040</v>
      </c>
      <c r="R623" s="487" t="s">
        <v>5378</v>
      </c>
    </row>
    <row r="624" spans="2:18">
      <c r="B624" s="335" t="str">
        <f t="shared" si="25"/>
        <v>197615-21L3900.01-cabinet height=450 – 580 mm</v>
      </c>
      <c r="M624" s="286" t="s">
        <v>3041</v>
      </c>
      <c r="N624" s="286" t="s">
        <v>3042</v>
      </c>
      <c r="O624" s="286" t="s">
        <v>3043</v>
      </c>
      <c r="P624" s="286" t="s">
        <v>3044</v>
      </c>
      <c r="Q624" s="286" t="s">
        <v>3045</v>
      </c>
      <c r="R624" s="487" t="s">
        <v>5379</v>
      </c>
    </row>
    <row r="625" spans="2:18">
      <c r="B625" s="335" t="str">
        <f t="shared" si="25"/>
        <v>Type of glass/mesh</v>
      </c>
      <c r="M625" s="328" t="s">
        <v>3265</v>
      </c>
      <c r="N625" s="286" t="s">
        <v>3266</v>
      </c>
      <c r="O625" s="286" t="s">
        <v>3267</v>
      </c>
      <c r="P625" s="286" t="s">
        <v>3268</v>
      </c>
      <c r="Q625" s="286" t="s">
        <v>3269</v>
      </c>
      <c r="R625" s="487" t="s">
        <v>5325</v>
      </c>
    </row>
    <row r="626" spans="2:18" ht="75">
      <c r="B626" s="335" t="str">
        <f t="shared" si="25"/>
        <v>In the green cells, specify the drilling distance of the handle from the outer edge of the frame.</v>
      </c>
      <c r="M626" s="356" t="s">
        <v>3059</v>
      </c>
      <c r="N626" s="356" t="s">
        <v>3060</v>
      </c>
      <c r="O626" s="356" t="s">
        <v>3061</v>
      </c>
      <c r="P626" s="356" t="s">
        <v>3062</v>
      </c>
      <c r="Q626" s="356" t="s">
        <v>3063</v>
      </c>
      <c r="R626" s="492" t="s">
        <v>5380</v>
      </c>
    </row>
    <row r="627" spans="2:18">
      <c r="B627" s="335" t="str">
        <f t="shared" si="25"/>
        <v>Invalid combination</v>
      </c>
      <c r="M627" s="286" t="s">
        <v>3079</v>
      </c>
      <c r="N627" s="286" t="s">
        <v>3083</v>
      </c>
      <c r="O627" s="286" t="s">
        <v>3082</v>
      </c>
      <c r="P627" s="286" t="s">
        <v>3081</v>
      </c>
      <c r="Q627" s="286" t="s">
        <v>3080</v>
      </c>
      <c r="R627" s="487" t="s">
        <v>5381</v>
      </c>
    </row>
    <row r="628" spans="2:18">
      <c r="B628" s="335" t="str">
        <f t="shared" si="25"/>
        <v>cross screw</v>
      </c>
      <c r="M628" s="328" t="s">
        <v>3091</v>
      </c>
      <c r="N628" s="328" t="s">
        <v>3097</v>
      </c>
      <c r="O628" s="286" t="s">
        <v>3098</v>
      </c>
      <c r="P628" s="286" t="s">
        <v>3099</v>
      </c>
      <c r="Q628" s="286" t="s">
        <v>3100</v>
      </c>
      <c r="R628" s="487" t="s">
        <v>5382</v>
      </c>
    </row>
    <row r="629" spans="2:18">
      <c r="B629" s="335" t="str">
        <f t="shared" si="25"/>
        <v>on screw (w/ cam adjust)</v>
      </c>
      <c r="M629" s="328" t="s">
        <v>3089</v>
      </c>
      <c r="N629" s="328" t="s">
        <v>3101</v>
      </c>
      <c r="O629" s="286" t="s">
        <v>3102</v>
      </c>
      <c r="P629" s="286" t="s">
        <v>3103</v>
      </c>
      <c r="Q629" s="286" t="s">
        <v>3104</v>
      </c>
      <c r="R629" s="487" t="s">
        <v>5383</v>
      </c>
    </row>
    <row r="630" spans="2:18">
      <c r="B630" s="335" t="str">
        <f t="shared" si="25"/>
        <v>euroscrew</v>
      </c>
      <c r="M630" s="328" t="s">
        <v>3092</v>
      </c>
      <c r="N630" s="328" t="s">
        <v>3105</v>
      </c>
      <c r="O630" s="286" t="s">
        <v>3120</v>
      </c>
      <c r="P630" s="286" t="s">
        <v>3106</v>
      </c>
      <c r="Q630" s="286" t="s">
        <v>3107</v>
      </c>
      <c r="R630" s="487" t="s">
        <v>5384</v>
      </c>
    </row>
    <row r="631" spans="2:18">
      <c r="B631" s="335" t="str">
        <f t="shared" si="25"/>
        <v>expando</v>
      </c>
      <c r="M631" s="328" t="s">
        <v>3093</v>
      </c>
      <c r="N631" s="328" t="s">
        <v>3108</v>
      </c>
      <c r="O631" s="286" t="s">
        <v>3121</v>
      </c>
      <c r="P631" s="286" t="s">
        <v>3109</v>
      </c>
      <c r="Q631" s="286" t="s">
        <v>3109</v>
      </c>
      <c r="R631" s="487" t="s">
        <v>5385</v>
      </c>
    </row>
    <row r="632" spans="2:18">
      <c r="B632" s="335" t="str">
        <f t="shared" si="25"/>
        <v>direct screw</v>
      </c>
      <c r="M632" s="328" t="s">
        <v>3094</v>
      </c>
      <c r="N632" s="328" t="s">
        <v>3110</v>
      </c>
      <c r="O632" s="286" t="s">
        <v>3111</v>
      </c>
      <c r="P632" s="286" t="s">
        <v>3113</v>
      </c>
      <c r="Q632" s="286" t="s">
        <v>3112</v>
      </c>
      <c r="R632" s="487" t="s">
        <v>5386</v>
      </c>
    </row>
    <row r="633" spans="2:18">
      <c r="B633" s="335" t="str">
        <f t="shared" si="25"/>
        <v>direct euroscrew</v>
      </c>
      <c r="M633" s="328" t="s">
        <v>3095</v>
      </c>
      <c r="N633" s="328" t="s">
        <v>3095</v>
      </c>
      <c r="O633" s="286" t="s">
        <v>3116</v>
      </c>
      <c r="P633" s="286" t="s">
        <v>3114</v>
      </c>
      <c r="Q633" s="286" t="s">
        <v>3115</v>
      </c>
      <c r="R633" s="487" t="s">
        <v>5387</v>
      </c>
    </row>
    <row r="634" spans="2:18">
      <c r="B634" s="335" t="str">
        <f t="shared" si="25"/>
        <v>direct expando</v>
      </c>
      <c r="M634" s="328" t="s">
        <v>3096</v>
      </c>
      <c r="N634" s="328" t="s">
        <v>3096</v>
      </c>
      <c r="O634" s="286" t="s">
        <v>3117</v>
      </c>
      <c r="P634" s="286" t="s">
        <v>3118</v>
      </c>
      <c r="Q634" s="286" t="s">
        <v>3119</v>
      </c>
      <c r="R634" s="487" t="s">
        <v>5388</v>
      </c>
    </row>
    <row r="635" spans="2:18">
      <c r="B635" s="335" t="str">
        <f t="shared" ref="B635:B651" si="26">IF($D$1=1,M635,IF($D$1=2,N635,IF($D$1=3,O635,IF($D$1=4,P635,IF($D$1=5,Q635,IF($D$1=6,R635,0))))))</f>
        <v>length max. 2150 mm</v>
      </c>
      <c r="M635" s="286" t="s">
        <v>3135</v>
      </c>
      <c r="N635" s="286" t="s">
        <v>3136</v>
      </c>
      <c r="O635" s="286" t="s">
        <v>3137</v>
      </c>
      <c r="P635" s="286" t="s">
        <v>3239</v>
      </c>
      <c r="Q635" s="286" t="s">
        <v>3138</v>
      </c>
      <c r="R635" s="487" t="s">
        <v>5389</v>
      </c>
    </row>
    <row r="636" spans="2:18">
      <c r="B636" s="335" t="str">
        <f t="shared" si="26"/>
        <v>Distance from the bottom edge</v>
      </c>
      <c r="M636" s="328" t="s">
        <v>4321</v>
      </c>
      <c r="N636" s="286" t="s">
        <v>3154</v>
      </c>
      <c r="O636" s="286" t="s">
        <v>3152</v>
      </c>
      <c r="P636" s="286" t="s">
        <v>3156</v>
      </c>
      <c r="Q636" s="286" t="s">
        <v>3150</v>
      </c>
      <c r="R636" s="487" t="s">
        <v>5390</v>
      </c>
    </row>
    <row r="637" spans="2:18">
      <c r="B637" s="335" t="str">
        <f t="shared" si="26"/>
        <v>Distance from the top edge</v>
      </c>
      <c r="M637" s="328" t="s">
        <v>4322</v>
      </c>
      <c r="N637" s="286" t="s">
        <v>3155</v>
      </c>
      <c r="O637" s="286" t="s">
        <v>3153</v>
      </c>
      <c r="P637" s="286" t="s">
        <v>3157</v>
      </c>
      <c r="Q637" s="286" t="s">
        <v>3151</v>
      </c>
      <c r="R637" s="487" t="s">
        <v>5391</v>
      </c>
    </row>
    <row r="638" spans="2:18">
      <c r="B638" s="335" t="str">
        <f t="shared" si="26"/>
        <v>Not treated</v>
      </c>
      <c r="M638" s="286" t="s">
        <v>2095</v>
      </c>
      <c r="N638" s="286" t="s">
        <v>2095</v>
      </c>
      <c r="O638" s="286" t="s">
        <v>2096</v>
      </c>
      <c r="P638" s="286" t="s">
        <v>2094</v>
      </c>
      <c r="Q638" s="286" t="s">
        <v>2406</v>
      </c>
      <c r="R638" s="487" t="s">
        <v>5392</v>
      </c>
    </row>
    <row r="639" spans="2:18">
      <c r="B639" s="335" t="str">
        <f t="shared" si="26"/>
        <v>Harded (delivery is 4 weeks)</v>
      </c>
      <c r="M639" s="286" t="s">
        <v>4218</v>
      </c>
      <c r="N639" s="286" t="s">
        <v>4219</v>
      </c>
      <c r="O639" s="286" t="s">
        <v>4220</v>
      </c>
      <c r="P639" s="286" t="s">
        <v>4221</v>
      </c>
      <c r="Q639" s="286" t="s">
        <v>4222</v>
      </c>
      <c r="R639" s="487" t="s">
        <v>5393</v>
      </c>
    </row>
    <row r="640" spans="2:18">
      <c r="B640" s="335" t="str">
        <f t="shared" si="26"/>
        <v>Foil</v>
      </c>
      <c r="M640" s="286" t="s">
        <v>1866</v>
      </c>
      <c r="N640" s="286" t="s">
        <v>1866</v>
      </c>
      <c r="O640" s="286" t="s">
        <v>2097</v>
      </c>
      <c r="P640" s="286" t="s">
        <v>2098</v>
      </c>
      <c r="Q640" s="286" t="s">
        <v>2405</v>
      </c>
      <c r="R640" s="487" t="s">
        <v>5190</v>
      </c>
    </row>
    <row r="641" spans="2:18" ht="97.5">
      <c r="B641" s="335" t="str">
        <f t="shared" si="26"/>
        <v>Frames without glass are delivered disassembled.</v>
      </c>
      <c r="M641" s="358" t="s">
        <v>3232</v>
      </c>
      <c r="N641" s="358" t="s">
        <v>3231</v>
      </c>
      <c r="O641" s="358" t="s">
        <v>3233</v>
      </c>
      <c r="P641" s="364" t="s">
        <v>3234</v>
      </c>
      <c r="Q641" s="386" t="s">
        <v>3303</v>
      </c>
      <c r="R641" s="487" t="s">
        <v>5394</v>
      </c>
    </row>
    <row r="642" spans="2:18" ht="74.25" customHeight="1">
      <c r="B642" s="335" t="str">
        <f t="shared" si="26"/>
        <v>The max. recommended size is 1500 x 600 mm. When ordering a larger size, the glass can slide out of the profile. The manufacturer is not responsible for such complaints.</v>
      </c>
      <c r="M642" s="356" t="s">
        <v>3240</v>
      </c>
      <c r="N642" s="372" t="s">
        <v>3242</v>
      </c>
      <c r="O642" s="356" t="s">
        <v>3243</v>
      </c>
      <c r="P642" s="371" t="s">
        <v>3241</v>
      </c>
      <c r="Q642" s="356" t="s">
        <v>3244</v>
      </c>
      <c r="R642" s="492" t="s">
        <v>5395</v>
      </c>
    </row>
    <row r="643" spans="2:18">
      <c r="B643" s="335">
        <f t="shared" si="26"/>
        <v>0</v>
      </c>
      <c r="R643" s="487"/>
    </row>
    <row r="644" spans="2:18">
      <c r="B644" s="335">
        <f t="shared" si="26"/>
        <v>0</v>
      </c>
      <c r="M644" s="168" t="s">
        <v>3608</v>
      </c>
      <c r="N644" s="168" t="s">
        <v>3608</v>
      </c>
      <c r="O644" s="168" t="s">
        <v>3609</v>
      </c>
      <c r="P644" t="s">
        <v>3610</v>
      </c>
      <c r="R644" t="s">
        <v>5396</v>
      </c>
    </row>
    <row r="645" spans="2:18">
      <c r="B645" s="335">
        <f t="shared" si="26"/>
        <v>0</v>
      </c>
      <c r="M645" s="168" t="s">
        <v>3611</v>
      </c>
      <c r="N645" s="168" t="s">
        <v>3611</v>
      </c>
      <c r="O645" s="168" t="s">
        <v>3612</v>
      </c>
      <c r="P645" t="s">
        <v>3613</v>
      </c>
      <c r="R645" t="s">
        <v>5397</v>
      </c>
    </row>
    <row r="646" spans="2:18">
      <c r="B646" s="335">
        <f t="shared" si="26"/>
        <v>0</v>
      </c>
      <c r="M646" s="168" t="s">
        <v>3614</v>
      </c>
      <c r="N646" s="168" t="s">
        <v>3614</v>
      </c>
      <c r="O646" s="168" t="s">
        <v>3615</v>
      </c>
      <c r="P646" t="s">
        <v>3613</v>
      </c>
      <c r="R646" t="s">
        <v>5398</v>
      </c>
    </row>
    <row r="647" spans="2:18">
      <c r="B647" s="335">
        <f t="shared" si="26"/>
        <v>0</v>
      </c>
      <c r="M647" s="168" t="s">
        <v>3616</v>
      </c>
      <c r="N647" s="168" t="s">
        <v>3616</v>
      </c>
      <c r="O647" s="168" t="s">
        <v>3617</v>
      </c>
      <c r="P647" t="s">
        <v>3618</v>
      </c>
      <c r="R647" t="s">
        <v>5399</v>
      </c>
    </row>
    <row r="648" spans="2:18">
      <c r="B648" s="335">
        <f t="shared" si="26"/>
        <v>0</v>
      </c>
      <c r="M648" s="168" t="s">
        <v>3619</v>
      </c>
      <c r="N648" s="168" t="s">
        <v>3619</v>
      </c>
      <c r="O648" s="168" t="s">
        <v>3620</v>
      </c>
      <c r="P648" t="s">
        <v>3621</v>
      </c>
      <c r="R648" t="s">
        <v>5400</v>
      </c>
    </row>
    <row r="649" spans="2:18">
      <c r="B649" s="335">
        <f t="shared" si="26"/>
        <v>0</v>
      </c>
      <c r="M649" s="168" t="s">
        <v>3622</v>
      </c>
      <c r="N649" s="168" t="s">
        <v>3622</v>
      </c>
      <c r="O649" s="168" t="s">
        <v>3623</v>
      </c>
      <c r="P649" t="s">
        <v>3624</v>
      </c>
      <c r="R649" t="s">
        <v>5401</v>
      </c>
    </row>
    <row r="650" spans="2:18">
      <c r="B650" s="335">
        <f t="shared" si="26"/>
        <v>0</v>
      </c>
      <c r="M650" s="168" t="s">
        <v>3625</v>
      </c>
      <c r="N650" s="168" t="s">
        <v>3625</v>
      </c>
      <c r="O650" s="168" t="s">
        <v>3626</v>
      </c>
      <c r="P650" t="s">
        <v>3627</v>
      </c>
      <c r="R650" t="s">
        <v>5402</v>
      </c>
    </row>
    <row r="651" spans="2:18">
      <c r="B651" s="335">
        <f t="shared" si="26"/>
        <v>0</v>
      </c>
      <c r="M651" t="s">
        <v>3628</v>
      </c>
      <c r="N651" t="s">
        <v>3628</v>
      </c>
      <c r="O651" t="s">
        <v>3629</v>
      </c>
      <c r="P651" t="s">
        <v>3630</v>
      </c>
      <c r="R651" t="s">
        <v>5403</v>
      </c>
    </row>
    <row r="652" spans="2:18">
      <c r="R652" s="487"/>
    </row>
    <row r="653" spans="2:18">
      <c r="B653" s="335" t="str">
        <f t="shared" ref="B653:B654" si="27">IF($D$1=1,M653,IF($D$1=2,N653,IF($D$1=3,O653,IF($D$1=4,P653,IF($D$1=5,Q653,IF($D$1=6,R653,0))))))</f>
        <v>Mesh frame filler</v>
      </c>
      <c r="M653" s="286" t="s">
        <v>3247</v>
      </c>
      <c r="N653" s="286" t="s">
        <v>3413</v>
      </c>
      <c r="O653" s="286" t="s">
        <v>3547</v>
      </c>
      <c r="P653" s="382" t="s">
        <v>5430</v>
      </c>
      <c r="Q653" s="286" t="s">
        <v>5431</v>
      </c>
      <c r="R653" t="s">
        <v>5432</v>
      </c>
    </row>
    <row r="654" spans="2:18">
      <c r="B654" s="335" t="str">
        <f t="shared" si="27"/>
        <v>max. dimension 1000x500</v>
      </c>
      <c r="M654" s="286" t="s">
        <v>3251</v>
      </c>
      <c r="N654" s="286" t="s">
        <v>3252</v>
      </c>
      <c r="O654" s="286" t="s">
        <v>3253</v>
      </c>
      <c r="P654" s="286" t="s">
        <v>3254</v>
      </c>
      <c r="Q654" s="286" t="s">
        <v>3255</v>
      </c>
      <c r="R654" t="s">
        <v>5404</v>
      </c>
    </row>
    <row r="655" spans="2:18">
      <c r="B655" s="335"/>
      <c r="R655" s="487"/>
    </row>
    <row r="656" spans="2:18">
      <c r="B656" s="335" t="str">
        <f t="shared" ref="B656:B670" si="28">IF($D$1=1,M656,IF($D$1=2,N656,IF($D$1=3,O656,IF($D$1=4,P656,IF($D$1=5,Q656,IF($D$1=6,R656,0))))))</f>
        <v>Mesh type</v>
      </c>
      <c r="M656" s="286" t="s">
        <v>3256</v>
      </c>
      <c r="N656" s="286" t="s">
        <v>3257</v>
      </c>
      <c r="O656" s="286" t="s">
        <v>3258</v>
      </c>
      <c r="P656" s="286" t="s">
        <v>3259</v>
      </c>
      <c r="Q656" s="286" t="s">
        <v>3260</v>
      </c>
      <c r="R656" t="s">
        <v>5405</v>
      </c>
    </row>
    <row r="657" spans="2:18">
      <c r="B657" s="335" t="str">
        <f t="shared" si="28"/>
        <v>Halfoverlay and inset is not possible</v>
      </c>
      <c r="M657" s="286" t="s">
        <v>3400</v>
      </c>
      <c r="N657" s="286" t="s">
        <v>3400</v>
      </c>
      <c r="O657" s="286" t="s">
        <v>3401</v>
      </c>
      <c r="P657" s="286" t="s">
        <v>3402</v>
      </c>
      <c r="Q657" s="286" t="s">
        <v>3403</v>
      </c>
      <c r="R657" t="s">
        <v>5406</v>
      </c>
    </row>
    <row r="658" spans="2:18">
      <c r="B658" s="335" t="str">
        <f t="shared" si="28"/>
        <v>Edge finishing</v>
      </c>
      <c r="M658" s="286" t="s">
        <v>2403</v>
      </c>
      <c r="N658" s="286" t="s">
        <v>3414</v>
      </c>
      <c r="O658" s="286" t="s">
        <v>3415</v>
      </c>
      <c r="P658" s="286" t="s">
        <v>3417</v>
      </c>
      <c r="Q658" s="286" t="s">
        <v>3416</v>
      </c>
      <c r="R658" t="s">
        <v>5407</v>
      </c>
    </row>
    <row r="659" spans="2:18">
      <c r="B659" s="335" t="str">
        <f t="shared" si="28"/>
        <v>StrongLift_upper</v>
      </c>
      <c r="M659" t="s">
        <v>3538</v>
      </c>
      <c r="N659" t="s">
        <v>3549</v>
      </c>
      <c r="O659" t="s">
        <v>3548</v>
      </c>
      <c r="P659" t="s">
        <v>3551</v>
      </c>
      <c r="Q659" t="s">
        <v>3552</v>
      </c>
      <c r="R659" t="s">
        <v>5286</v>
      </c>
    </row>
    <row r="660" spans="2:18">
      <c r="B660" s="335" t="str">
        <f t="shared" si="28"/>
        <v>StrongLift_bottom</v>
      </c>
      <c r="M660" t="s">
        <v>3539</v>
      </c>
      <c r="N660" t="s">
        <v>3550</v>
      </c>
      <c r="O660" t="s">
        <v>3553</v>
      </c>
      <c r="P660" t="s">
        <v>3554</v>
      </c>
      <c r="Q660" t="s">
        <v>3555</v>
      </c>
      <c r="R660" t="s">
        <v>5287</v>
      </c>
    </row>
    <row r="661" spans="2:18">
      <c r="B661" s="335" t="str">
        <f t="shared" si="28"/>
        <v>corpus hinge</v>
      </c>
      <c r="M661" s="286" t="s">
        <v>3556</v>
      </c>
      <c r="N661" s="286" t="s">
        <v>3557</v>
      </c>
      <c r="O661" s="286" t="s">
        <v>3558</v>
      </c>
      <c r="P661" s="286" t="s">
        <v>3568</v>
      </c>
      <c r="Q661" s="286" t="s">
        <v>3559</v>
      </c>
      <c r="R661" t="s">
        <v>5260</v>
      </c>
    </row>
    <row r="662" spans="2:18">
      <c r="B662" s="335" t="str">
        <f t="shared" si="28"/>
        <v>soft-closing</v>
      </c>
      <c r="M662" t="s">
        <v>2006</v>
      </c>
      <c r="N662" t="s">
        <v>3560</v>
      </c>
      <c r="O662" s="286" t="s">
        <v>3561</v>
      </c>
      <c r="P662" s="286" t="s">
        <v>4603</v>
      </c>
      <c r="Q662" t="s">
        <v>3562</v>
      </c>
      <c r="R662" t="s">
        <v>5259</v>
      </c>
    </row>
    <row r="663" spans="2:18">
      <c r="B663" s="335" t="str">
        <f t="shared" si="28"/>
        <v>upper</v>
      </c>
      <c r="M663" s="328" t="s">
        <v>4045</v>
      </c>
      <c r="N663" s="328" t="s">
        <v>4046</v>
      </c>
      <c r="O663" s="286" t="s">
        <v>3563</v>
      </c>
      <c r="P663" t="s">
        <v>3565</v>
      </c>
      <c r="Q663" s="286" t="s">
        <v>3567</v>
      </c>
      <c r="R663" t="s">
        <v>5299</v>
      </c>
    </row>
    <row r="664" spans="2:18">
      <c r="B664" s="335" t="str">
        <f t="shared" si="28"/>
        <v>bottom</v>
      </c>
      <c r="M664" t="s">
        <v>764</v>
      </c>
      <c r="N664" t="s">
        <v>4047</v>
      </c>
      <c r="O664" t="s">
        <v>3564</v>
      </c>
      <c r="P664" t="s">
        <v>3566</v>
      </c>
      <c r="Q664" t="s">
        <v>2335</v>
      </c>
      <c r="R664" t="s">
        <v>5261</v>
      </c>
    </row>
    <row r="665" spans="2:18">
      <c r="B665" s="335" t="str">
        <f t="shared" si="28"/>
        <v>Narrow ALU Frame</v>
      </c>
      <c r="M665" s="328" t="s">
        <v>802</v>
      </c>
      <c r="N665" s="286" t="s">
        <v>3569</v>
      </c>
      <c r="O665" s="286" t="s">
        <v>486</v>
      </c>
      <c r="P665" s="286" t="s">
        <v>564</v>
      </c>
      <c r="Q665" s="286" t="s">
        <v>2323</v>
      </c>
      <c r="R665" t="s">
        <v>5262</v>
      </c>
    </row>
    <row r="666" spans="2:18">
      <c r="B666" s="335" t="str">
        <f t="shared" si="28"/>
        <v>Wide ALU Frame</v>
      </c>
      <c r="M666" s="328" t="s">
        <v>801</v>
      </c>
      <c r="N666" s="286" t="s">
        <v>801</v>
      </c>
      <c r="O666" s="286" t="s">
        <v>487</v>
      </c>
      <c r="P666" s="286" t="s">
        <v>565</v>
      </c>
      <c r="Q666" s="286" t="s">
        <v>2324</v>
      </c>
      <c r="R666" t="s">
        <v>5263</v>
      </c>
    </row>
    <row r="667" spans="2:18">
      <c r="R667"/>
    </row>
    <row r="668" spans="2:18">
      <c r="B668" s="335" t="str">
        <f t="shared" si="28"/>
        <v>You have exceeded the maximum size of the glass</v>
      </c>
      <c r="M668" s="286" t="s">
        <v>3592</v>
      </c>
      <c r="N668" s="286" t="s">
        <v>3593</v>
      </c>
      <c r="O668" s="286" t="s">
        <v>3594</v>
      </c>
      <c r="P668" s="286" t="s">
        <v>3596</v>
      </c>
      <c r="Q668" s="286" t="s">
        <v>3595</v>
      </c>
      <c r="R668" t="s">
        <v>5408</v>
      </c>
    </row>
    <row r="669" spans="2:18">
      <c r="B669" s="335" t="str">
        <f t="shared" si="28"/>
        <v>transparency 50%</v>
      </c>
      <c r="M669" s="286" t="s">
        <v>4070</v>
      </c>
      <c r="N669" s="286" t="s">
        <v>4072</v>
      </c>
      <c r="O669" s="286" t="s">
        <v>4074</v>
      </c>
      <c r="P669" s="286" t="s">
        <v>4076</v>
      </c>
      <c r="Q669" s="286" t="s">
        <v>4078</v>
      </c>
      <c r="R669" t="s">
        <v>5409</v>
      </c>
    </row>
    <row r="670" spans="2:18">
      <c r="B670" s="335" t="str">
        <f t="shared" si="28"/>
        <v>transparency 67%</v>
      </c>
      <c r="M670" s="286" t="s">
        <v>4071</v>
      </c>
      <c r="N670" s="286" t="s">
        <v>4073</v>
      </c>
      <c r="O670" s="286" t="s">
        <v>4075</v>
      </c>
      <c r="P670" s="286" t="s">
        <v>4077</v>
      </c>
      <c r="Q670" s="286" t="s">
        <v>4079</v>
      </c>
      <c r="R670" t="s">
        <v>5191</v>
      </c>
    </row>
    <row r="680" spans="2:18">
      <c r="B680" s="335" t="str">
        <f t="shared" ref="B680:B694" si="29">IF($D$1=1,M680,IF($D$1=2,N680,IF($D$1=3,O680,IF($D$1=4,P680,IF($D$1=5,Q680,IF($D$1=6,R680,0))))))</f>
        <v>Conditions and recomendations for correct ordering aluminium frames</v>
      </c>
      <c r="M680" s="1" t="s">
        <v>3633</v>
      </c>
      <c r="N680" t="s">
        <v>3634</v>
      </c>
      <c r="O680" t="s">
        <v>4622</v>
      </c>
      <c r="P680" t="s">
        <v>3635</v>
      </c>
      <c r="Q680" s="286" t="s">
        <v>3636</v>
      </c>
      <c r="R680" t="s">
        <v>5410</v>
      </c>
    </row>
    <row r="681" spans="2:18">
      <c r="B681" s="335" t="str">
        <f t="shared" si="29"/>
        <v>General recomendations:</v>
      </c>
      <c r="M681" s="1" t="s">
        <v>3637</v>
      </c>
      <c r="N681" t="s">
        <v>3638</v>
      </c>
      <c r="O681" t="s">
        <v>3677</v>
      </c>
      <c r="P681" t="s">
        <v>3639</v>
      </c>
      <c r="Q681" s="286" t="s">
        <v>3640</v>
      </c>
      <c r="R681" t="s">
        <v>5411</v>
      </c>
    </row>
    <row r="682" spans="2:18">
      <c r="B682" s="335" t="str">
        <f t="shared" si="29"/>
        <v>Fill in the form step by step from up towards down.</v>
      </c>
      <c r="M682" s="1" t="s">
        <v>3641</v>
      </c>
      <c r="N682" t="s">
        <v>3642</v>
      </c>
      <c r="O682" t="s">
        <v>4624</v>
      </c>
      <c r="P682" t="s">
        <v>3643</v>
      </c>
      <c r="Q682" s="286" t="s">
        <v>3644</v>
      </c>
      <c r="R682" t="s">
        <v>5412</v>
      </c>
    </row>
    <row r="683" spans="2:18">
      <c r="B683" s="335" t="str">
        <f t="shared" si="29"/>
        <v>If you make any change, you have to continue again from this changed item</v>
      </c>
      <c r="M683" s="1" t="s">
        <v>3645</v>
      </c>
      <c r="N683" t="s">
        <v>3646</v>
      </c>
      <c r="O683" t="s">
        <v>4625</v>
      </c>
      <c r="P683" t="s">
        <v>3647</v>
      </c>
      <c r="Q683" s="286" t="s">
        <v>3648</v>
      </c>
      <c r="R683" t="s">
        <v>5413</v>
      </c>
    </row>
    <row r="684" spans="2:18">
      <c r="B684" s="335" t="str">
        <f t="shared" si="29"/>
        <v>Before you order, make sure that the form contains only the desired frames</v>
      </c>
      <c r="M684" s="1" t="s">
        <v>3649</v>
      </c>
      <c r="N684" t="s">
        <v>3650</v>
      </c>
      <c r="O684" t="s">
        <v>4626</v>
      </c>
      <c r="P684" t="s">
        <v>3651</v>
      </c>
      <c r="Q684" s="286" t="s">
        <v>3652</v>
      </c>
      <c r="R684" t="s">
        <v>5414</v>
      </c>
    </row>
    <row r="685" spans="2:18">
      <c r="B685" s="335" t="str">
        <f t="shared" si="29"/>
        <v>Usual delivery is maximaly three weeks. For precise date please contact our Customers service</v>
      </c>
      <c r="M685" s="1" t="s">
        <v>3653</v>
      </c>
      <c r="N685" t="s">
        <v>3654</v>
      </c>
      <c r="O685" t="s">
        <v>4635</v>
      </c>
      <c r="P685" t="s">
        <v>3655</v>
      </c>
      <c r="Q685" s="286" t="s">
        <v>3656</v>
      </c>
      <c r="R685" t="s">
        <v>5415</v>
      </c>
    </row>
    <row r="686" spans="2:18">
      <c r="B686" s="335" t="str">
        <f t="shared" si="29"/>
        <v>Practical information:</v>
      </c>
      <c r="M686" s="1" t="s">
        <v>3657</v>
      </c>
      <c r="N686" t="s">
        <v>3658</v>
      </c>
      <c r="O686" t="s">
        <v>3678</v>
      </c>
      <c r="P686" t="s">
        <v>3659</v>
      </c>
      <c r="Q686" s="286" t="s">
        <v>3660</v>
      </c>
      <c r="R686" t="s">
        <v>5416</v>
      </c>
    </row>
    <row r="687" spans="2:18">
      <c r="B687" s="335" t="str">
        <f t="shared" si="29"/>
        <v>For bigger frames then 2500mm we recomend to use middle profiles, otherwise there is a risk of bending profile or glass may get loose.</v>
      </c>
      <c r="M687" s="1" t="s">
        <v>3661</v>
      </c>
      <c r="N687" t="s">
        <v>3662</v>
      </c>
      <c r="O687" t="s">
        <v>3679</v>
      </c>
      <c r="P687" t="s">
        <v>3663</v>
      </c>
      <c r="Q687" s="286" t="s">
        <v>3664</v>
      </c>
      <c r="R687" t="s">
        <v>5417</v>
      </c>
    </row>
    <row r="688" spans="2:18">
      <c r="B688" s="335" t="str">
        <f t="shared" si="29"/>
        <v>An extra fee may be charged when ordering frames larger than 1200 x 800 mm. For more information please contact our Customer service</v>
      </c>
      <c r="M688" s="1" t="s">
        <v>3665</v>
      </c>
      <c r="N688" t="s">
        <v>3666</v>
      </c>
      <c r="O688" t="s">
        <v>3680</v>
      </c>
      <c r="P688" t="s">
        <v>3667</v>
      </c>
      <c r="Q688" s="286" t="s">
        <v>3668</v>
      </c>
      <c r="R688" t="s">
        <v>5418</v>
      </c>
    </row>
    <row r="689" spans="2:18">
      <c r="B689" s="335" t="str">
        <f t="shared" si="29"/>
        <v>Steel mesh is normally turned horizantaly. Shall the holes in the mesh be turned verticaly, make a note.</v>
      </c>
      <c r="M689" s="1" t="s">
        <v>3669</v>
      </c>
      <c r="N689" t="s">
        <v>3670</v>
      </c>
      <c r="O689" t="s">
        <v>3681</v>
      </c>
      <c r="P689" t="s">
        <v>3671</v>
      </c>
      <c r="Q689" s="286" t="s">
        <v>3672</v>
      </c>
      <c r="R689" t="s">
        <v>5419</v>
      </c>
    </row>
    <row r="690" spans="2:18">
      <c r="B690" s="335" t="str">
        <f t="shared" si="29"/>
        <v>I understand and accept the conditions and recomendations above.</v>
      </c>
      <c r="M690" s="1" t="s">
        <v>3673</v>
      </c>
      <c r="N690" t="s">
        <v>3674</v>
      </c>
      <c r="O690" t="s">
        <v>3682</v>
      </c>
      <c r="P690" t="s">
        <v>3675</v>
      </c>
      <c r="Q690" s="286" t="s">
        <v>4832</v>
      </c>
      <c r="R690" t="s">
        <v>5420</v>
      </c>
    </row>
    <row r="691" spans="2:18" ht="23.45" customHeight="1">
      <c r="B691" s="335" t="str">
        <f t="shared" si="29"/>
        <v>Size of the frame does not match with maximal possible size of the glass or of the profile</v>
      </c>
      <c r="M691" s="356" t="s">
        <v>4330</v>
      </c>
      <c r="N691" s="286" t="s">
        <v>4333</v>
      </c>
      <c r="O691" s="286" t="s">
        <v>4331</v>
      </c>
      <c r="P691" s="286" t="s">
        <v>4334</v>
      </c>
      <c r="Q691" s="356" t="s">
        <v>4332</v>
      </c>
      <c r="R691" s="494" t="s">
        <v>5421</v>
      </c>
    </row>
    <row r="692" spans="2:18">
      <c r="B692" s="335" t="str">
        <f t="shared" si="29"/>
        <v>Price</v>
      </c>
      <c r="M692" s="328" t="s">
        <v>2153</v>
      </c>
      <c r="N692" s="286" t="s">
        <v>2153</v>
      </c>
      <c r="O692" s="286" t="s">
        <v>498</v>
      </c>
      <c r="P692" s="286" t="s">
        <v>4328</v>
      </c>
      <c r="Q692" s="286" t="s">
        <v>4329</v>
      </c>
      <c r="R692" t="s">
        <v>5422</v>
      </c>
    </row>
    <row r="693" spans="2:18">
      <c r="B693" s="335" t="str">
        <f t="shared" si="29"/>
        <v>Total price of fittings</v>
      </c>
      <c r="M693" s="286" t="s">
        <v>4661</v>
      </c>
      <c r="N693" s="286" t="s">
        <v>4662</v>
      </c>
      <c r="O693" s="286" t="s">
        <v>444</v>
      </c>
      <c r="P693" s="286" t="s">
        <v>4663</v>
      </c>
      <c r="Q693" s="286" t="s">
        <v>2410</v>
      </c>
      <c r="R693" t="s">
        <v>5423</v>
      </c>
    </row>
    <row r="694" spans="2:18">
      <c r="B694" s="335" t="str">
        <f t="shared" si="29"/>
        <v>The color of the profile and the mesh may vary due to tolerances in the production process.</v>
      </c>
      <c r="M694" s="286" t="s">
        <v>4604</v>
      </c>
      <c r="N694" s="286" t="s">
        <v>4605</v>
      </c>
      <c r="O694" s="286" t="s">
        <v>4606</v>
      </c>
      <c r="P694" s="286" t="s">
        <v>4607</v>
      </c>
      <c r="Q694" s="286" t="s">
        <v>4608</v>
      </c>
      <c r="R694" s="487" t="s">
        <v>5322</v>
      </c>
    </row>
    <row r="695" spans="2:18">
      <c r="B695" s="286" t="str">
        <f>O695</f>
        <v>Koszt transportu musi zostać zweryfikowany</v>
      </c>
      <c r="O695" s="286" t="s">
        <v>4646</v>
      </c>
      <c r="R695"/>
    </row>
    <row r="698" spans="2:18">
      <c r="C698" s="286" t="s">
        <v>3405</v>
      </c>
    </row>
    <row r="699" spans="2:18">
      <c r="C699" s="286" t="s">
        <v>3271</v>
      </c>
      <c r="D699" s="286" t="s">
        <v>3684</v>
      </c>
    </row>
    <row r="700" spans="2:18">
      <c r="C700" s="286" t="s">
        <v>3272</v>
      </c>
      <c r="D700" s="286" t="s">
        <v>3685</v>
      </c>
    </row>
    <row r="701" spans="2:18">
      <c r="C701" s="286" t="s">
        <v>3273</v>
      </c>
      <c r="D701" s="286" t="s">
        <v>3687</v>
      </c>
    </row>
    <row r="702" spans="2:18">
      <c r="C702" s="286" t="s">
        <v>3274</v>
      </c>
      <c r="D702" s="286" t="s">
        <v>3686</v>
      </c>
    </row>
    <row r="703" spans="2:18">
      <c r="C703" s="286" t="s">
        <v>3275</v>
      </c>
      <c r="D703" s="286" t="s">
        <v>3684</v>
      </c>
    </row>
    <row r="704" spans="2:18">
      <c r="C704" s="286" t="s">
        <v>3276</v>
      </c>
      <c r="D704" s="286" t="s">
        <v>3685</v>
      </c>
    </row>
    <row r="705" spans="3:4">
      <c r="C705" s="286" t="s">
        <v>3277</v>
      </c>
      <c r="D705" s="286" t="s">
        <v>3687</v>
      </c>
    </row>
    <row r="706" spans="3:4">
      <c r="C706" s="286" t="s">
        <v>3278</v>
      </c>
      <c r="D706" s="286" t="s">
        <v>3686</v>
      </c>
    </row>
    <row r="707" spans="3:4">
      <c r="C707" s="286" t="s">
        <v>3279</v>
      </c>
      <c r="D707" s="286" t="s">
        <v>3684</v>
      </c>
    </row>
    <row r="708" spans="3:4">
      <c r="C708" s="286" t="s">
        <v>3280</v>
      </c>
      <c r="D708" s="286" t="s">
        <v>3685</v>
      </c>
    </row>
    <row r="709" spans="3:4">
      <c r="C709" s="286" t="s">
        <v>3281</v>
      </c>
      <c r="D709" s="286" t="s">
        <v>3687</v>
      </c>
    </row>
    <row r="710" spans="3:4">
      <c r="C710" s="286" t="s">
        <v>3282</v>
      </c>
      <c r="D710" s="286" t="s">
        <v>3686</v>
      </c>
    </row>
    <row r="711" spans="3:4">
      <c r="C711" s="286" t="s">
        <v>3283</v>
      </c>
      <c r="D711" s="286" t="s">
        <v>3684</v>
      </c>
    </row>
    <row r="712" spans="3:4">
      <c r="C712" s="286" t="s">
        <v>3284</v>
      </c>
      <c r="D712" s="286" t="s">
        <v>3685</v>
      </c>
    </row>
    <row r="713" spans="3:4">
      <c r="C713" s="286" t="s">
        <v>3285</v>
      </c>
      <c r="D713" s="286" t="s">
        <v>3687</v>
      </c>
    </row>
    <row r="714" spans="3:4">
      <c r="C714" s="286" t="s">
        <v>3286</v>
      </c>
      <c r="D714" s="286" t="s">
        <v>3686</v>
      </c>
    </row>
    <row r="715" spans="3:4">
      <c r="C715" s="286" t="s">
        <v>3287</v>
      </c>
      <c r="D715" s="286" t="s">
        <v>3684</v>
      </c>
    </row>
    <row r="716" spans="3:4">
      <c r="C716" s="286" t="s">
        <v>3288</v>
      </c>
      <c r="D716" s="286" t="s">
        <v>3685</v>
      </c>
    </row>
    <row r="717" spans="3:4">
      <c r="C717" s="286" t="s">
        <v>3289</v>
      </c>
      <c r="D717" s="286" t="s">
        <v>3687</v>
      </c>
    </row>
    <row r="718" spans="3:4">
      <c r="C718" s="286" t="s">
        <v>3290</v>
      </c>
      <c r="D718" s="286" t="s">
        <v>3686</v>
      </c>
    </row>
    <row r="719" spans="3:4">
      <c r="C719" s="286" t="s">
        <v>5182</v>
      </c>
      <c r="D719" s="286" t="s">
        <v>3684</v>
      </c>
    </row>
    <row r="720" spans="3:4">
      <c r="C720" s="286" t="s">
        <v>5183</v>
      </c>
      <c r="D720" s="286" t="s">
        <v>3685</v>
      </c>
    </row>
    <row r="721" spans="2:18">
      <c r="C721" s="286" t="s">
        <v>5184</v>
      </c>
      <c r="D721" s="286" t="s">
        <v>3687</v>
      </c>
    </row>
    <row r="722" spans="2:18">
      <c r="C722" s="286" t="s">
        <v>5185</v>
      </c>
      <c r="D722" s="286" t="s">
        <v>3686</v>
      </c>
    </row>
    <row r="723" spans="2:18">
      <c r="B723" s="335" t="str">
        <f t="shared" ref="B723" si="30">IF($D$1=1,M723,IF($D$1=2,N723,IF($D$1=3,O723,IF($D$1=4,P723,IF($D$1=5,Q723,IF($D$1=6,R723,0))))))</f>
        <v>Discount</v>
      </c>
      <c r="C723" s="286" t="s">
        <v>3026</v>
      </c>
      <c r="D723" s="286" t="s">
        <v>3028</v>
      </c>
      <c r="M723" s="328" t="s">
        <v>4615</v>
      </c>
      <c r="N723" s="286" t="s">
        <v>4616</v>
      </c>
      <c r="O723" s="286" t="s">
        <v>4617</v>
      </c>
      <c r="P723" s="286" t="s">
        <v>4618</v>
      </c>
      <c r="Q723" s="286" t="s">
        <v>4619</v>
      </c>
      <c r="R723" s="286" t="s">
        <v>5192</v>
      </c>
    </row>
    <row r="724" spans="2:18">
      <c r="C724" s="286" t="s">
        <v>3031</v>
      </c>
      <c r="D724" s="286" t="s">
        <v>3033</v>
      </c>
    </row>
    <row r="725" spans="2:18">
      <c r="C725" s="286" t="s">
        <v>3036</v>
      </c>
      <c r="D725" s="286" t="s">
        <v>3038</v>
      </c>
    </row>
    <row r="726" spans="2:18">
      <c r="C726" s="286" t="s">
        <v>3041</v>
      </c>
      <c r="D726" s="286" t="s">
        <v>3043</v>
      </c>
    </row>
    <row r="727" spans="2:18">
      <c r="C727" s="286" t="s">
        <v>3027</v>
      </c>
      <c r="D727" s="286" t="s">
        <v>3028</v>
      </c>
    </row>
    <row r="728" spans="2:18">
      <c r="C728" s="286" t="s">
        <v>3032</v>
      </c>
      <c r="D728" s="286" t="s">
        <v>3033</v>
      </c>
    </row>
    <row r="729" spans="2:18">
      <c r="C729" s="286" t="s">
        <v>3037</v>
      </c>
      <c r="D729" s="286" t="s">
        <v>3038</v>
      </c>
    </row>
    <row r="730" spans="2:18">
      <c r="C730" s="286" t="s">
        <v>3042</v>
      </c>
      <c r="D730" s="286" t="s">
        <v>3043</v>
      </c>
    </row>
    <row r="731" spans="2:18">
      <c r="C731" s="286" t="s">
        <v>3028</v>
      </c>
      <c r="D731" s="286" t="s">
        <v>3028</v>
      </c>
    </row>
    <row r="732" spans="2:18">
      <c r="C732" s="286" t="s">
        <v>3033</v>
      </c>
      <c r="D732" s="286" t="s">
        <v>3033</v>
      </c>
    </row>
    <row r="733" spans="2:18">
      <c r="C733" s="286" t="s">
        <v>3038</v>
      </c>
      <c r="D733" s="286" t="s">
        <v>3038</v>
      </c>
    </row>
    <row r="734" spans="2:18">
      <c r="C734" s="286" t="s">
        <v>3043</v>
      </c>
      <c r="D734" s="286" t="s">
        <v>3043</v>
      </c>
    </row>
    <row r="735" spans="2:18">
      <c r="C735" s="286" t="s">
        <v>3029</v>
      </c>
      <c r="D735" s="286" t="s">
        <v>3028</v>
      </c>
    </row>
    <row r="736" spans="2:18">
      <c r="C736" s="286" t="s">
        <v>3034</v>
      </c>
      <c r="D736" s="286" t="s">
        <v>3033</v>
      </c>
    </row>
    <row r="737" spans="3:4">
      <c r="C737" s="286" t="s">
        <v>3039</v>
      </c>
      <c r="D737" s="286" t="s">
        <v>3038</v>
      </c>
    </row>
    <row r="738" spans="3:4">
      <c r="C738" s="286" t="s">
        <v>3044</v>
      </c>
      <c r="D738" s="286" t="s">
        <v>3043</v>
      </c>
    </row>
    <row r="739" spans="3:4">
      <c r="C739" s="286" t="s">
        <v>3030</v>
      </c>
      <c r="D739" s="286" t="s">
        <v>3028</v>
      </c>
    </row>
    <row r="740" spans="3:4">
      <c r="C740" s="286" t="s">
        <v>3035</v>
      </c>
      <c r="D740" s="286" t="s">
        <v>3033</v>
      </c>
    </row>
    <row r="741" spans="3:4">
      <c r="C741" s="286" t="s">
        <v>3040</v>
      </c>
      <c r="D741" s="286" t="s">
        <v>3038</v>
      </c>
    </row>
    <row r="742" spans="3:4">
      <c r="C742" s="286" t="s">
        <v>3045</v>
      </c>
      <c r="D742" s="286" t="s">
        <v>3043</v>
      </c>
    </row>
    <row r="743" spans="3:4">
      <c r="C743" s="487" t="s">
        <v>5186</v>
      </c>
      <c r="D743" s="286" t="s">
        <v>3028</v>
      </c>
    </row>
    <row r="744" spans="3:4">
      <c r="C744" s="487" t="s">
        <v>5187</v>
      </c>
      <c r="D744" s="286" t="s">
        <v>3033</v>
      </c>
    </row>
    <row r="745" spans="3:4">
      <c r="C745" s="487" t="s">
        <v>5188</v>
      </c>
      <c r="D745" s="286" t="s">
        <v>3038</v>
      </c>
    </row>
    <row r="746" spans="3:4">
      <c r="C746" s="487" t="s">
        <v>5189</v>
      </c>
      <c r="D746" s="286" t="s">
        <v>3043</v>
      </c>
    </row>
  </sheetData>
  <mergeCells count="16">
    <mergeCell ref="C4:D4"/>
    <mergeCell ref="E4:F4"/>
    <mergeCell ref="G4:H4"/>
    <mergeCell ref="I4:J4"/>
    <mergeCell ref="K4:L4"/>
    <mergeCell ref="A6:A63"/>
    <mergeCell ref="A99:A163"/>
    <mergeCell ref="A77:A82"/>
    <mergeCell ref="I168:J168"/>
    <mergeCell ref="K168:L168"/>
    <mergeCell ref="G168:H168"/>
    <mergeCell ref="K98:L98"/>
    <mergeCell ref="C98:D98"/>
    <mergeCell ref="E98:F98"/>
    <mergeCell ref="G98:H98"/>
    <mergeCell ref="I98:J98"/>
  </mergeCells>
  <conditionalFormatting sqref="C723:C726">
    <cfRule type="expression" dxfId="793" priority="1" stopIfTrue="1">
      <formula>AND(COUNTIF($M$582:$M$587, C723)+COUNTIF($M$593:$M$624, C723)+COUNTIF($M$627:$M$627, C723)+COUNTIF($M$642:$M$644, C723)&gt;1,NOT(ISBLANK(C723)))</formula>
    </cfRule>
  </conditionalFormatting>
  <conditionalFormatting sqref="C699:D718">
    <cfRule type="expression" dxfId="792" priority="3" stopIfTrue="1">
      <formula>AND(COUNTIF($M$582:$M$587, C699)+COUNTIF($M$593:$M$624, C699)+COUNTIF($M$627:$M$627, C699)+COUNTIF($M$642:$M$644, C699)&gt;1,NOT(ISBLANK(C699)))</formula>
    </cfRule>
  </conditionalFormatting>
  <conditionalFormatting sqref="D719:D722">
    <cfRule type="expression" dxfId="791" priority="2" stopIfTrue="1">
      <formula>AND(COUNTIF($M$582:$M$587, D719)+COUNTIF($M$593:$M$624, D719)+COUNTIF($M$627:$M$627, D719)+COUNTIF($M$642:$M$644, D719)&gt;1,NOT(ISBLANK(D719)))</formula>
    </cfRule>
  </conditionalFormatting>
  <conditionalFormatting sqref="M582:M587 M593:M624 M627 M642:M643">
    <cfRule type="expression" dxfId="790" priority="9" stopIfTrue="1">
      <formula>AND(COUNTIF($M$582:$M$587, M582)+COUNTIF($M$593:$M$624, M582)+COUNTIF($M$627:$M$627, M582)+COUNTIF($M$642:$M$644, M582)&gt;1,NOT(ISBLANK(M582)))</formula>
    </cfRule>
  </conditionalFormatting>
  <conditionalFormatting sqref="N616:Q619">
    <cfRule type="expression" dxfId="789" priority="5" stopIfTrue="1">
      <formula>AND(COUNTIF($M$582:$M$587, N616)+COUNTIF($M$593:$M$624, N616)+COUNTIF($M$627:$M$627, N616)+COUNTIF($M$642:$M$644, N616)&gt;1,NOT(ISBLANK(N616)))</formula>
    </cfRule>
  </conditionalFormatting>
  <hyperlinks>
    <hyperlink ref="N315" r:id="rId1" xr:uid="{92C178D6-04AB-467D-B460-13F1EA7BE0F7}"/>
    <hyperlink ref="M315" r:id="rId2" xr:uid="{520B93AC-0648-47B4-8EF3-DC5C381451BF}"/>
    <hyperlink ref="R315" r:id="rId3" xr:uid="{F227CD53-25D6-4095-869B-7220AB110728}"/>
  </hyperlinks>
  <pageMargins left="0.7" right="0.7" top="0.78740157499999996" bottom="0.78740157499999996" header="0.3" footer="0.3"/>
  <pageSetup paperSize="9" orientation="portrait" verticalDpi="300"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election activeCell="B31" sqref="B31:C32"/>
    </sheetView>
  </sheetViews>
  <sheetFormatPr defaultColWidth="0" defaultRowHeight="15" customHeight="1" zeroHeight="1"/>
  <cols>
    <col min="1" max="3" width="8.5703125" style="1" customWidth="1"/>
    <col min="4" max="4" width="6.5703125" style="1" customWidth="1"/>
    <col min="5" max="8" width="8.5703125" style="1" customWidth="1"/>
    <col min="9" max="9" width="6.42578125" style="1" customWidth="1"/>
    <col min="10" max="10" width="2.140625" style="1" customWidth="1"/>
    <col min="11" max="11" width="5.42578125" style="1" customWidth="1"/>
    <col min="12" max="14" width="8.5703125" style="1" customWidth="1"/>
    <col min="15" max="15" width="19.28515625" style="1" customWidth="1"/>
    <col min="16" max="16" width="8.5703125" style="1" customWidth="1"/>
    <col min="17" max="17" width="6.5703125" style="1" customWidth="1"/>
    <col min="18" max="19" width="8.5703125" style="1" customWidth="1"/>
    <col min="20" max="20" width="10.5703125" style="1" customWidth="1"/>
    <col min="21" max="22" width="8.5703125" style="1" hidden="1" customWidth="1"/>
    <col min="23" max="23" width="15.5703125" style="1" hidden="1" customWidth="1"/>
    <col min="24" max="16384" width="8.5703125" style="1" hidden="1"/>
  </cols>
  <sheetData>
    <row r="1" spans="1:23">
      <c r="A1" s="174"/>
      <c r="B1" s="174"/>
      <c r="C1" s="174"/>
      <c r="D1" s="174"/>
      <c r="E1" s="174"/>
      <c r="F1" s="174"/>
      <c r="G1" s="174"/>
      <c r="H1" s="174"/>
      <c r="I1" s="174"/>
      <c r="J1" s="174"/>
      <c r="K1" s="174"/>
      <c r="L1" s="174"/>
      <c r="M1" s="174"/>
      <c r="N1" s="174"/>
      <c r="O1" s="174"/>
    </row>
    <row r="2" spans="1:23" ht="15" customHeight="1">
      <c r="A2" s="175"/>
      <c r="B2" s="175"/>
      <c r="C2" s="175"/>
      <c r="D2" s="175"/>
      <c r="E2" s="175"/>
      <c r="F2" s="175"/>
      <c r="G2" s="175"/>
      <c r="H2" s="175"/>
      <c r="I2" s="175"/>
      <c r="J2" s="175"/>
      <c r="K2" s="175"/>
      <c r="L2" s="175"/>
      <c r="M2" s="175"/>
      <c r="N2" s="175"/>
      <c r="O2" s="175"/>
      <c r="P2" s="120"/>
      <c r="Q2" s="517" t="str">
        <f>'Translate&amp;Prices&amp;Logo'!$B$540</f>
        <v>Main page</v>
      </c>
      <c r="R2" s="518"/>
      <c r="S2" s="518"/>
      <c r="T2" s="518"/>
      <c r="W2" s="39" t="b">
        <v>0</v>
      </c>
    </row>
    <row r="3" spans="1:23" ht="15" customHeight="1">
      <c r="A3" s="175"/>
      <c r="B3" s="175"/>
      <c r="C3" s="175"/>
      <c r="D3" s="175"/>
      <c r="E3" s="175"/>
      <c r="F3" s="175"/>
      <c r="G3" s="175"/>
      <c r="H3" s="175"/>
      <c r="I3" s="175"/>
      <c r="J3" s="175"/>
      <c r="K3" s="175"/>
      <c r="L3" s="175"/>
      <c r="M3" s="175"/>
      <c r="N3" s="175"/>
      <c r="O3" s="175"/>
      <c r="P3" s="120"/>
      <c r="Q3" s="517"/>
      <c r="R3" s="518"/>
      <c r="S3" s="518"/>
      <c r="T3" s="518"/>
    </row>
    <row r="4" spans="1:23"/>
    <row r="5" spans="1:23" ht="21">
      <c r="B5" s="398" t="str">
        <f>'Translate&amp;Prices&amp;Logo'!B680</f>
        <v>Conditions and recomendations for correct ordering aluminium frames</v>
      </c>
    </row>
    <row r="6" spans="1:23" ht="11.1" customHeight="1">
      <c r="B6" s="390"/>
    </row>
    <row r="7" spans="1:23" ht="18" customHeight="1">
      <c r="B7" s="397" t="str">
        <f>'Translate&amp;Prices&amp;Logo'!B681</f>
        <v>General recomendations:</v>
      </c>
    </row>
    <row r="8" spans="1:23" ht="15" customHeight="1">
      <c r="B8" s="1" t="str">
        <f>'Translate&amp;Prices&amp;Logo'!$B$302</f>
        <v>Always use the current version of the form available on our web pages.</v>
      </c>
    </row>
    <row r="9" spans="1:23" ht="15" customHeight="1">
      <c r="B9" s="81" t="str">
        <f>'Translate&amp;Prices&amp;Logo'!B682</f>
        <v>Fill in the form step by step from up towards down.</v>
      </c>
    </row>
    <row r="10" spans="1:23">
      <c r="B10" s="81" t="str">
        <f>'Translate&amp;Prices&amp;Logo'!B683</f>
        <v>If you make any change, you have to continue again from this changed item</v>
      </c>
      <c r="C10" s="389"/>
      <c r="D10" s="389"/>
      <c r="E10" s="389"/>
      <c r="F10" s="389"/>
      <c r="G10" s="389"/>
      <c r="H10" s="389"/>
      <c r="I10" s="389"/>
      <c r="J10" s="389"/>
      <c r="K10" s="389"/>
      <c r="L10" s="389"/>
      <c r="M10" s="389"/>
      <c r="N10" s="389"/>
      <c r="O10" s="389"/>
      <c r="P10" s="389"/>
    </row>
    <row r="11" spans="1:23">
      <c r="B11" s="81" t="str">
        <f>'Translate&amp;Prices&amp;Logo'!B684</f>
        <v>Before you order, make sure that the form contains only the desired frames</v>
      </c>
    </row>
    <row r="12" spans="1:23" ht="15" customHeight="1">
      <c r="B12" s="389" t="str">
        <f>'Translate&amp;Prices&amp;Logo'!$B$314&amp;" "&amp;'Translate&amp;Prices&amp;Logo'!$B$315</f>
        <v>Send your filled order to ordering@demos-trade.com</v>
      </c>
      <c r="C12" s="389"/>
      <c r="D12" s="389"/>
      <c r="E12" s="389"/>
      <c r="F12" s="389"/>
      <c r="G12" s="389"/>
      <c r="H12" s="389"/>
      <c r="I12" s="389"/>
      <c r="J12" s="389"/>
      <c r="K12" s="389"/>
      <c r="L12" s="389"/>
      <c r="M12" s="389"/>
    </row>
    <row r="13" spans="1:23" ht="30" customHeight="1">
      <c r="B13" s="591" t="str">
        <f>'Translate&amp;Prices&amp;Logo'!B685</f>
        <v>Usual delivery is maximaly three weeks. For precise date please contact our Customers service</v>
      </c>
      <c r="C13" s="591"/>
      <c r="D13" s="591"/>
      <c r="E13" s="591"/>
      <c r="F13" s="591"/>
      <c r="G13" s="591"/>
      <c r="H13" s="591"/>
      <c r="I13" s="591"/>
      <c r="J13" s="591"/>
      <c r="K13" s="591"/>
      <c r="L13" s="591"/>
      <c r="M13" s="591"/>
      <c r="N13" s="591"/>
      <c r="O13" s="591"/>
      <c r="P13" s="591"/>
      <c r="Q13" s="591"/>
      <c r="R13" s="591"/>
      <c r="S13" s="591"/>
    </row>
    <row r="14" spans="1:23" ht="15" customHeight="1"/>
    <row r="15" spans="1:23" ht="15" customHeight="1">
      <c r="B15" s="1" t="str">
        <f>'Translate&amp;Prices&amp;Logo'!$B$171</f>
        <v>Prices shown are VAT-free and do not include price of the fittings required!</v>
      </c>
    </row>
    <row r="16" spans="1:23" ht="39.75" customHeight="1">
      <c r="B16" s="594" t="str">
        <f>IF(Zakaznik!K23="Dostawa na adres","W przypadku wyboru DOSTAWA NA ADRES do zamówienia zostanie automatycznie doliczona opłata transportowa. Cena zależna od rozmiaru ramki. Aby zobaczyć ostateczną cenę, kliknij na Podsumowanie. ","")</f>
        <v/>
      </c>
      <c r="C16" s="594"/>
      <c r="D16" s="594"/>
      <c r="E16" s="594"/>
      <c r="F16" s="594"/>
      <c r="G16" s="594"/>
      <c r="H16" s="594"/>
      <c r="I16" s="594"/>
      <c r="J16" s="594"/>
      <c r="K16" s="594"/>
      <c r="L16" s="594"/>
      <c r="M16" s="594"/>
      <c r="N16" s="594"/>
      <c r="O16" s="594"/>
      <c r="P16" s="594"/>
      <c r="Q16" s="594"/>
      <c r="R16" s="594"/>
      <c r="S16" s="594"/>
      <c r="T16" s="594"/>
    </row>
    <row r="17" spans="2:20" ht="21.75" customHeight="1">
      <c r="B17" s="592" t="str">
        <f>'Translate&amp;Prices&amp;Logo'!B572</f>
        <v>Warning:</v>
      </c>
      <c r="C17" s="593"/>
      <c r="D17" s="593"/>
    </row>
    <row r="18" spans="2:20" ht="15" customHeight="1">
      <c r="B18" s="1" t="str">
        <f>'Translate&amp;Prices&amp;Logo'!$B$301</f>
        <v>To attach the fitting to the ALU frame, designated screws should be used (e.g. code 13681).</v>
      </c>
    </row>
    <row r="19" spans="2:20" ht="15" customHeight="1">
      <c r="B19" s="1" t="str">
        <f>'Translate&amp;Prices&amp;Logo'!$B$331</f>
        <v>If the Handle is fixed through glass, a distance washer must always be used (e.g. 144516, 191970, C0315)</v>
      </c>
    </row>
    <row r="20" spans="2:20"/>
    <row r="21" spans="2:20">
      <c r="B21" s="1" t="str">
        <f>'Translate&amp;Prices&amp;Logo'!$B$311</f>
        <v>The maximum recommended frame size is 2500 x 1250 mm (1500 x 600 mm in the case of glued glass frames, e.g. Corleone)</v>
      </c>
    </row>
    <row r="22" spans="2:20" ht="30" customHeight="1">
      <c r="B22" s="588" t="str">
        <f>'Translate&amp;Prices&amp;Logo'!B687</f>
        <v>For bigger frames then 2500mm we recomend to use middle profiles, otherwise there is a risk of bending profile or glass may get loose.</v>
      </c>
      <c r="C22" s="588"/>
      <c r="D22" s="588"/>
      <c r="E22" s="588"/>
      <c r="F22" s="588"/>
      <c r="G22" s="588"/>
      <c r="H22" s="588"/>
      <c r="I22" s="588"/>
      <c r="J22" s="588"/>
      <c r="K22" s="588"/>
      <c r="L22" s="588"/>
      <c r="M22" s="588"/>
      <c r="N22" s="588"/>
      <c r="O22" s="588"/>
      <c r="P22" s="588"/>
      <c r="Q22" s="588"/>
      <c r="R22" s="588"/>
      <c r="S22" s="588"/>
      <c r="T22" s="394"/>
    </row>
    <row r="23" spans="2:20" ht="30" customHeight="1">
      <c r="B23" s="588" t="str">
        <f>'Translate&amp;Prices&amp;Logo'!$B$327</f>
        <v>For oversize frames (over 1200 x 800 mm), extra special packaging and transport may be charged (more informattion at the customer centre).</v>
      </c>
      <c r="C23" s="588"/>
      <c r="D23" s="588"/>
      <c r="E23" s="588"/>
      <c r="F23" s="588"/>
      <c r="G23" s="588"/>
      <c r="H23" s="588"/>
      <c r="I23" s="588"/>
      <c r="J23" s="588"/>
      <c r="K23" s="588"/>
      <c r="L23" s="588"/>
      <c r="M23" s="588"/>
      <c r="N23" s="588"/>
      <c r="O23" s="588"/>
      <c r="P23" s="588"/>
      <c r="Q23" s="588"/>
      <c r="R23" s="588"/>
      <c r="S23" s="588"/>
    </row>
    <row r="24" spans="2:20">
      <c r="B24" s="1" t="str">
        <f>'Translate&amp;Prices&amp;Logo'!$B$300</f>
        <v>Claims for damage cannot be accepted if the frame has already been fitted.</v>
      </c>
    </row>
    <row r="25" spans="2:20">
      <c r="B25" s="1" t="str">
        <f>'Translate&amp;Prices&amp;Logo'!$B$689</f>
        <v>Steel mesh is normally turned horizantaly. Shall the holes in the mesh be turned verticaly, make a note.</v>
      </c>
    </row>
    <row r="26" spans="2:20">
      <c r="B26" s="395" t="str">
        <f>'Translate&amp;Prices&amp;Logo'!B694</f>
        <v>The color of the profile and the mesh may vary due to tolerances in the production process.</v>
      </c>
    </row>
    <row r="27" spans="2:20" ht="30" customHeight="1" thickBot="1">
      <c r="B27" s="397" t="str">
        <f>'Translate&amp;Prices&amp;Logo'!$B$690</f>
        <v>I understand and accept the conditions and recomendations above.</v>
      </c>
    </row>
    <row r="28" spans="2:20">
      <c r="B28" s="396"/>
      <c r="M28" s="589"/>
    </row>
    <row r="29" spans="2:20" ht="15.75" thickBot="1">
      <c r="B29" s="396"/>
      <c r="M29" s="590"/>
    </row>
    <row r="30" spans="2:20" ht="6.75" customHeight="1"/>
    <row r="31" spans="2:20" ht="15" customHeight="1">
      <c r="B31" s="517" t="str">
        <f>"&lt;"&amp;" "&amp;'Translate&amp;Prices&amp;Logo'!$B$574</f>
        <v>&lt; Back</v>
      </c>
      <c r="C31" s="518"/>
      <c r="R31" s="517" t="str">
        <f>IF(W2=TRUE,(CONCATENATE('Translate&amp;Prices&amp;Logo'!$B$566," &gt;"))," ")</f>
        <v xml:space="preserve"> </v>
      </c>
      <c r="S31" s="518"/>
    </row>
    <row r="32" spans="2:20" ht="15" customHeight="1">
      <c r="B32" s="517"/>
      <c r="C32" s="518"/>
      <c r="R32" s="517"/>
      <c r="S32" s="518"/>
    </row>
    <row r="33"/>
    <row r="34"/>
  </sheetData>
  <sheetProtection algorithmName="SHA-512" hashValue="JJJpgUKGEXSgtRrYYBuQUsOw59jhkPp0sxuawcS82XrfELTnuCjbdGEWaivbO+1qiXf+TdhSbOQvfZRYdo697Q==" saltValue="2O2NaQvbYlHyQ/CkMHqmrA==" spinCount="100000" sheet="1" objects="1" scenarios="1"/>
  <mergeCells count="9">
    <mergeCell ref="B31:C32"/>
    <mergeCell ref="R31:S32"/>
    <mergeCell ref="Q2:T3"/>
    <mergeCell ref="B22:S22"/>
    <mergeCell ref="B23:S23"/>
    <mergeCell ref="M28:M29"/>
    <mergeCell ref="B13:S13"/>
    <mergeCell ref="B17:D17"/>
    <mergeCell ref="B16:T16"/>
  </mergeCells>
  <conditionalFormatting sqref="R31:S32">
    <cfRule type="expression" dxfId="787"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180975</xdr:colOff>
                    <xdr:row>26</xdr:row>
                    <xdr:rowOff>628650</xdr:rowOff>
                  </from>
                  <to>
                    <xdr:col>12</xdr:col>
                    <xdr:colOff>428625</xdr:colOff>
                    <xdr:row>28</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B16:T16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Z209"/>
  <sheetViews>
    <sheetView topLeftCell="CP1" workbookViewId="0">
      <selection activeCell="CU10" sqref="CU10"/>
    </sheetView>
  </sheetViews>
  <sheetFormatPr defaultColWidth="8.5703125" defaultRowHeight="15"/>
  <cols>
    <col min="1" max="1" width="30" customWidth="1"/>
    <col min="2" max="2" width="25.42578125" customWidth="1"/>
    <col min="3" max="3" width="26.5703125" bestFit="1" customWidth="1"/>
    <col min="4" max="11" width="24.5703125" customWidth="1"/>
    <col min="12" max="12" width="20.42578125" customWidth="1"/>
    <col min="13" max="13" width="23" customWidth="1"/>
    <col min="14" max="14" width="19.140625" bestFit="1" customWidth="1"/>
    <col min="15" max="15" width="23.42578125" bestFit="1" customWidth="1"/>
    <col min="16" max="16" width="20.140625" bestFit="1" customWidth="1"/>
    <col min="17" max="17" width="19.140625" bestFit="1" customWidth="1"/>
    <col min="18" max="18" width="14.5703125" customWidth="1"/>
    <col min="20" max="20" width="18.5703125" bestFit="1" customWidth="1"/>
    <col min="21" max="21" width="9.5703125" customWidth="1"/>
    <col min="22" max="22" width="19.5703125" customWidth="1"/>
    <col min="23" max="23" width="19.42578125" bestFit="1" customWidth="1"/>
    <col min="25" max="31" width="13.42578125" customWidth="1"/>
    <col min="69" max="69" width="13.42578125" customWidth="1"/>
    <col min="80" max="80" width="21.5703125" customWidth="1"/>
    <col min="85" max="85" width="17.42578125" customWidth="1"/>
    <col min="86" max="86" width="24.7109375" customWidth="1"/>
    <col min="87" max="87" width="29.140625" customWidth="1"/>
    <col min="88" max="88" width="30.5703125" customWidth="1"/>
    <col min="89" max="89" width="26.85546875" customWidth="1"/>
    <col min="90" max="90" width="38.7109375" customWidth="1"/>
    <col min="91" max="91" width="29.85546875" bestFit="1" customWidth="1"/>
    <col min="92" max="92" width="25.28515625" customWidth="1"/>
    <col min="93" max="93" width="26.5703125" customWidth="1"/>
    <col min="94" max="94" width="17.7109375" customWidth="1"/>
    <col min="95" max="95" width="19.42578125" customWidth="1"/>
    <col min="96" max="98" width="25.140625" bestFit="1" customWidth="1"/>
    <col min="99" max="100" width="29.85546875" bestFit="1" customWidth="1"/>
    <col min="101" max="102" width="20.28515625" bestFit="1" customWidth="1"/>
    <col min="103" max="104" width="29.85546875" bestFit="1" customWidth="1"/>
    <col min="105" max="105" width="20.28515625" bestFit="1" customWidth="1"/>
    <col min="106" max="106" width="15.85546875" customWidth="1"/>
    <col min="109" max="109" width="26.5703125" customWidth="1"/>
    <col min="111" max="111" width="26" customWidth="1"/>
    <col min="112" max="112" width="28.7109375" customWidth="1"/>
    <col min="113" max="113" width="33.85546875" customWidth="1"/>
    <col min="114" max="114" width="23.85546875" bestFit="1" customWidth="1"/>
    <col min="115" max="115" width="21.140625" customWidth="1"/>
    <col min="116" max="116" width="19.42578125" customWidth="1"/>
    <col min="117" max="117" width="20.85546875" customWidth="1"/>
    <col min="118" max="118" width="26.42578125" bestFit="1" customWidth="1"/>
    <col min="129" max="129" width="32.7109375" customWidth="1"/>
    <col min="132" max="132" width="34.28515625" bestFit="1" customWidth="1"/>
    <col min="133" max="133" width="22" bestFit="1" customWidth="1"/>
    <col min="134" max="134" width="23.28515625" bestFit="1" customWidth="1"/>
    <col min="135" max="135" width="20.85546875" bestFit="1" customWidth="1"/>
    <col min="136" max="136" width="21.42578125" bestFit="1" customWidth="1"/>
    <col min="137" max="137" width="20" bestFit="1" customWidth="1"/>
    <col min="138" max="138" width="21.42578125" bestFit="1" customWidth="1"/>
    <col min="139" max="139" width="21" bestFit="1" customWidth="1"/>
    <col min="140" max="140" width="22.42578125" bestFit="1" customWidth="1"/>
    <col min="141" max="141" width="22" bestFit="1" customWidth="1"/>
    <col min="142" max="142" width="20.5703125" bestFit="1" customWidth="1"/>
    <col min="143" max="143" width="22.42578125" bestFit="1" customWidth="1"/>
    <col min="144" max="144" width="23.7109375" bestFit="1" customWidth="1"/>
  </cols>
  <sheetData>
    <row r="1" spans="1:156">
      <c r="A1" s="141" t="s">
        <v>1867</v>
      </c>
      <c r="B1" s="141"/>
      <c r="C1" s="141"/>
      <c r="D1" s="141"/>
      <c r="E1" s="141"/>
      <c r="F1" s="141"/>
      <c r="G1" s="141"/>
      <c r="H1" s="141"/>
      <c r="I1" s="141"/>
      <c r="J1" s="141"/>
      <c r="K1" s="141"/>
      <c r="L1" s="141"/>
      <c r="M1" s="141"/>
      <c r="N1" s="141"/>
      <c r="O1" s="141"/>
      <c r="P1" s="141"/>
      <c r="Q1" s="141"/>
      <c r="R1" s="141"/>
      <c r="S1" s="142"/>
      <c r="T1" s="141" t="s">
        <v>693</v>
      </c>
      <c r="U1" s="141"/>
      <c r="V1" s="141"/>
      <c r="W1" s="141"/>
      <c r="X1" s="142"/>
      <c r="Y1" s="141" t="s">
        <v>9</v>
      </c>
      <c r="Z1" s="141"/>
      <c r="AA1" s="141"/>
      <c r="AB1" s="141"/>
      <c r="AC1" s="141"/>
      <c r="AD1" s="141"/>
      <c r="AE1" s="141"/>
      <c r="AF1" s="142"/>
      <c r="BQ1" t="s">
        <v>1339</v>
      </c>
      <c r="BW1" t="s">
        <v>220</v>
      </c>
    </row>
    <row r="2" spans="1:156">
      <c r="A2" s="144" t="s">
        <v>1879</v>
      </c>
      <c r="B2" s="144" t="s">
        <v>986</v>
      </c>
      <c r="C2" s="144"/>
      <c r="D2">
        <v>1</v>
      </c>
      <c r="E2">
        <v>2</v>
      </c>
      <c r="F2">
        <v>3</v>
      </c>
      <c r="G2">
        <v>4</v>
      </c>
      <c r="H2">
        <v>5</v>
      </c>
      <c r="I2">
        <v>6</v>
      </c>
      <c r="J2">
        <v>7</v>
      </c>
      <c r="K2">
        <v>8</v>
      </c>
      <c r="L2">
        <v>9</v>
      </c>
      <c r="M2">
        <v>10</v>
      </c>
      <c r="N2">
        <v>11</v>
      </c>
      <c r="O2">
        <v>12</v>
      </c>
      <c r="P2">
        <v>13</v>
      </c>
      <c r="Q2">
        <v>14</v>
      </c>
      <c r="R2">
        <v>15</v>
      </c>
      <c r="S2" s="142"/>
      <c r="T2" s="143" t="s">
        <v>1869</v>
      </c>
      <c r="U2" s="143" t="s">
        <v>1339</v>
      </c>
      <c r="V2" s="143" t="s">
        <v>1880</v>
      </c>
      <c r="W2" s="143" t="s">
        <v>1881</v>
      </c>
      <c r="X2" s="142"/>
      <c r="Y2" s="145">
        <v>1</v>
      </c>
      <c r="Z2" s="145">
        <v>2</v>
      </c>
      <c r="AA2" s="145">
        <v>3</v>
      </c>
      <c r="AB2" s="145">
        <v>4</v>
      </c>
      <c r="AC2" s="145">
        <v>5</v>
      </c>
      <c r="AD2" s="145">
        <v>6</v>
      </c>
      <c r="AE2" s="145">
        <v>7</v>
      </c>
      <c r="AF2" s="142"/>
      <c r="BQ2" t="str">
        <f>'Translate&amp;Prices&amp;Logo'!$B$551</f>
        <v>Hinges</v>
      </c>
      <c r="BR2" t="str">
        <f>'Translate&amp;Prices&amp;Logo'!$B$552</f>
        <v>Lifts</v>
      </c>
      <c r="BW2" t="str">
        <f>'Translate&amp;Prices&amp;Logo'!$B$230</f>
        <v>Left</v>
      </c>
      <c r="CG2" t="s">
        <v>802</v>
      </c>
      <c r="CH2" t="s">
        <v>2048</v>
      </c>
      <c r="CI2" t="s">
        <v>802</v>
      </c>
      <c r="CJ2" t="s">
        <v>2048</v>
      </c>
      <c r="CK2" t="s">
        <v>802</v>
      </c>
      <c r="CL2" t="s">
        <v>2048</v>
      </c>
      <c r="CM2" t="s">
        <v>802</v>
      </c>
      <c r="CN2" t="s">
        <v>2048</v>
      </c>
      <c r="CO2" t="s">
        <v>802</v>
      </c>
      <c r="CP2" t="s">
        <v>2048</v>
      </c>
      <c r="CQ2" t="s">
        <v>802</v>
      </c>
      <c r="CR2" t="s">
        <v>2048</v>
      </c>
      <c r="CS2" t="s">
        <v>802</v>
      </c>
      <c r="CT2" t="s">
        <v>2048</v>
      </c>
      <c r="CU2" t="s">
        <v>802</v>
      </c>
      <c r="CV2" t="s">
        <v>2048</v>
      </c>
      <c r="CW2" t="s">
        <v>802</v>
      </c>
      <c r="CX2" t="s">
        <v>2048</v>
      </c>
      <c r="CY2" t="s">
        <v>802</v>
      </c>
      <c r="CZ2" t="s">
        <v>2048</v>
      </c>
      <c r="DA2" t="s">
        <v>802</v>
      </c>
      <c r="DB2" t="s">
        <v>2048</v>
      </c>
      <c r="DC2" t="s">
        <v>802</v>
      </c>
      <c r="DD2" t="s">
        <v>2048</v>
      </c>
      <c r="DE2" t="s">
        <v>802</v>
      </c>
      <c r="DF2" t="s">
        <v>2048</v>
      </c>
      <c r="DG2" t="s">
        <v>802</v>
      </c>
      <c r="DH2" t="s">
        <v>2048</v>
      </c>
      <c r="DI2" t="s">
        <v>802</v>
      </c>
      <c r="DJ2" t="s">
        <v>2048</v>
      </c>
      <c r="DK2" t="s">
        <v>802</v>
      </c>
      <c r="DL2" t="s">
        <v>2048</v>
      </c>
    </row>
    <row r="3" spans="1:156">
      <c r="A3" s="143" t="s">
        <v>215</v>
      </c>
      <c r="B3" s="143" t="s">
        <v>988</v>
      </c>
      <c r="C3" s="143" t="str">
        <f>CONCATENATE("_",A3,"_",B3)</f>
        <v>_Úzký ALU rámeček_Aventos HF</v>
      </c>
      <c r="D3" t="s">
        <v>1975</v>
      </c>
      <c r="E3" t="s">
        <v>1976</v>
      </c>
      <c r="F3" t="s">
        <v>1977</v>
      </c>
      <c r="G3" t="s">
        <v>1978</v>
      </c>
      <c r="H3" t="s">
        <v>1979</v>
      </c>
      <c r="I3" t="s">
        <v>1980</v>
      </c>
      <c r="S3" s="142"/>
      <c r="T3">
        <v>1</v>
      </c>
      <c r="U3" t="s">
        <v>2</v>
      </c>
      <c r="V3" t="s">
        <v>1981</v>
      </c>
      <c r="W3" t="s">
        <v>1982</v>
      </c>
      <c r="X3" s="142"/>
      <c r="AF3" s="142"/>
      <c r="BQ3" t="s">
        <v>1917</v>
      </c>
      <c r="BR3" t="s">
        <v>1887</v>
      </c>
      <c r="BW3" t="str">
        <f>'Translate&amp;Prices&amp;Logo'!$B$229</f>
        <v>Right</v>
      </c>
      <c r="CG3" t="s">
        <v>3404</v>
      </c>
      <c r="CH3" t="s">
        <v>3404</v>
      </c>
      <c r="CI3" t="s">
        <v>3122</v>
      </c>
      <c r="CJ3" t="s">
        <v>3122</v>
      </c>
      <c r="CK3" t="s">
        <v>1897</v>
      </c>
      <c r="CL3" t="s">
        <v>1897</v>
      </c>
      <c r="CM3" t="s">
        <v>1900</v>
      </c>
      <c r="CN3" t="s">
        <v>1900</v>
      </c>
      <c r="CO3" t="s">
        <v>1907</v>
      </c>
      <c r="CP3" t="s">
        <v>1907</v>
      </c>
      <c r="CQ3" t="s">
        <v>2058</v>
      </c>
      <c r="CR3" t="s">
        <v>2058</v>
      </c>
      <c r="CS3" t="s">
        <v>1902</v>
      </c>
      <c r="CT3" t="s">
        <v>1902</v>
      </c>
      <c r="CU3" t="s">
        <v>1908</v>
      </c>
      <c r="CV3" t="s">
        <v>1908</v>
      </c>
      <c r="CW3" t="s">
        <v>3570</v>
      </c>
      <c r="CX3" t="s">
        <v>3570</v>
      </c>
      <c r="CY3" t="s">
        <v>1911</v>
      </c>
      <c r="CZ3" t="s">
        <v>1911</v>
      </c>
      <c r="DA3" t="s">
        <v>3584</v>
      </c>
      <c r="DB3" t="s">
        <v>3584</v>
      </c>
      <c r="DC3" t="s">
        <v>1913</v>
      </c>
      <c r="DD3" t="s">
        <v>1913</v>
      </c>
      <c r="DE3" t="s">
        <v>1914</v>
      </c>
      <c r="DF3" t="s">
        <v>1914</v>
      </c>
      <c r="DG3" t="s">
        <v>3540</v>
      </c>
      <c r="DH3" t="s">
        <v>3540</v>
      </c>
      <c r="DI3" t="s">
        <v>3541</v>
      </c>
      <c r="DJ3" t="s">
        <v>3541</v>
      </c>
      <c r="DK3" t="s">
        <v>1918</v>
      </c>
      <c r="DL3" t="s">
        <v>1918</v>
      </c>
    </row>
    <row r="4" spans="1:156">
      <c r="A4" s="143" t="s">
        <v>216</v>
      </c>
      <c r="B4" s="143" t="s">
        <v>988</v>
      </c>
      <c r="C4" s="143" t="str">
        <f>CONCATENATE("_",A4,"_",B4)</f>
        <v>_Široký ALU rámeček_Aventos HF</v>
      </c>
      <c r="D4" t="s">
        <v>1983</v>
      </c>
      <c r="E4" t="s">
        <v>1976</v>
      </c>
      <c r="F4" t="s">
        <v>1984</v>
      </c>
      <c r="G4" t="s">
        <v>1985</v>
      </c>
      <c r="H4" t="s">
        <v>1986</v>
      </c>
      <c r="I4" t="s">
        <v>1987</v>
      </c>
      <c r="S4" s="142"/>
      <c r="V4" t="s">
        <v>1988</v>
      </c>
      <c r="W4" t="s">
        <v>1989</v>
      </c>
      <c r="X4" s="142"/>
      <c r="AF4" s="142"/>
      <c r="BQ4" t="s">
        <v>1887</v>
      </c>
      <c r="BR4" t="s">
        <v>1909</v>
      </c>
      <c r="BW4" t="str">
        <f>'Translate&amp;Prices&amp;Logo'!$B$227</f>
        <v>Top</v>
      </c>
      <c r="CG4" t="s">
        <v>4788</v>
      </c>
      <c r="CH4" t="s">
        <v>4789</v>
      </c>
      <c r="CI4" t="s">
        <v>4790</v>
      </c>
      <c r="CJ4" t="s">
        <v>4791</v>
      </c>
      <c r="CK4" t="s">
        <v>4792</v>
      </c>
      <c r="CL4" t="s">
        <v>4793</v>
      </c>
      <c r="CM4" t="s">
        <v>4794</v>
      </c>
      <c r="CN4" t="s">
        <v>4795</v>
      </c>
      <c r="CO4" t="s">
        <v>4796</v>
      </c>
      <c r="CP4" t="s">
        <v>4797</v>
      </c>
      <c r="CQ4" t="s">
        <v>4798</v>
      </c>
      <c r="CR4" t="s">
        <v>4799</v>
      </c>
      <c r="CS4" t="s">
        <v>4800</v>
      </c>
      <c r="CT4" t="s">
        <v>4801</v>
      </c>
      <c r="CU4" t="s">
        <v>4802</v>
      </c>
      <c r="CV4" t="s">
        <v>4803</v>
      </c>
      <c r="CW4" t="s">
        <v>4804</v>
      </c>
      <c r="CX4" t="s">
        <v>4805</v>
      </c>
      <c r="CY4" t="s">
        <v>4806</v>
      </c>
      <c r="CZ4" t="s">
        <v>4807</v>
      </c>
      <c r="DA4" t="s">
        <v>4808</v>
      </c>
      <c r="DB4" t="s">
        <v>4809</v>
      </c>
      <c r="DC4" t="s">
        <v>4810</v>
      </c>
      <c r="DD4" t="s">
        <v>4811</v>
      </c>
      <c r="DE4" t="s">
        <v>4812</v>
      </c>
      <c r="DF4" t="s">
        <v>4813</v>
      </c>
      <c r="DG4" t="s">
        <v>4814</v>
      </c>
      <c r="DH4" t="s">
        <v>4815</v>
      </c>
      <c r="DI4" t="s">
        <v>4816</v>
      </c>
      <c r="DJ4" t="s">
        <v>4817</v>
      </c>
      <c r="DK4" t="s">
        <v>4818</v>
      </c>
      <c r="DL4" t="s">
        <v>4819</v>
      </c>
      <c r="DM4" t="s">
        <v>4112</v>
      </c>
      <c r="DN4" t="s">
        <v>4109</v>
      </c>
      <c r="DO4" t="s">
        <v>4110</v>
      </c>
      <c r="DP4" t="s">
        <v>4111</v>
      </c>
      <c r="DQ4" t="s">
        <v>4107</v>
      </c>
      <c r="DR4" t="s">
        <v>4108</v>
      </c>
      <c r="DS4" t="s">
        <v>4105</v>
      </c>
      <c r="DT4" t="s">
        <v>4106</v>
      </c>
      <c r="DU4" t="s">
        <v>4119</v>
      </c>
      <c r="DV4" t="s">
        <v>4120</v>
      </c>
      <c r="DW4" t="s">
        <v>4121</v>
      </c>
      <c r="DX4" t="s">
        <v>4122</v>
      </c>
      <c r="DY4" t="s">
        <v>4124</v>
      </c>
      <c r="DZ4" t="s">
        <v>4125</v>
      </c>
      <c r="EA4" t="s">
        <v>4126</v>
      </c>
      <c r="EB4" t="s">
        <v>4127</v>
      </c>
      <c r="EC4" t="s">
        <v>5264</v>
      </c>
      <c r="ED4" t="s">
        <v>5265</v>
      </c>
      <c r="EE4" t="s">
        <v>5270</v>
      </c>
      <c r="EF4" t="s">
        <v>5271</v>
      </c>
      <c r="EG4" t="s">
        <v>5268</v>
      </c>
      <c r="EH4" t="s">
        <v>5269</v>
      </c>
      <c r="EI4" t="s">
        <v>5267</v>
      </c>
      <c r="EJ4" t="s">
        <v>5266</v>
      </c>
      <c r="EK4" t="s">
        <v>5289</v>
      </c>
      <c r="EL4" t="s">
        <v>5290</v>
      </c>
      <c r="EM4" t="s">
        <v>5291</v>
      </c>
      <c r="EN4" t="s">
        <v>5292</v>
      </c>
      <c r="EO4" t="s">
        <v>5293</v>
      </c>
      <c r="EP4" t="s">
        <v>5294</v>
      </c>
      <c r="EQ4" t="s">
        <v>5295</v>
      </c>
      <c r="ER4" t="s">
        <v>5296</v>
      </c>
      <c r="ES4" t="s">
        <v>5304</v>
      </c>
      <c r="ET4" t="s">
        <v>5305</v>
      </c>
      <c r="EU4" t="s">
        <v>5306</v>
      </c>
      <c r="EV4" t="s">
        <v>5307</v>
      </c>
      <c r="EW4" t="s">
        <v>5308</v>
      </c>
      <c r="EX4" t="s">
        <v>5309</v>
      </c>
      <c r="EY4" t="s">
        <v>5310</v>
      </c>
      <c r="EZ4" t="s">
        <v>5311</v>
      </c>
    </row>
    <row r="5" spans="1:156">
      <c r="A5" s="146" t="s">
        <v>215</v>
      </c>
      <c r="B5" t="s">
        <v>3122</v>
      </c>
      <c r="C5" s="146" t="str">
        <f t="shared" ref="C5:C34" si="0">CONCATENATE("_",A5,"_",B5)</f>
        <v>_Úzký ALU rámeček_Aventos_HK_XS</v>
      </c>
      <c r="D5" t="s">
        <v>1975</v>
      </c>
      <c r="E5" t="s">
        <v>1976</v>
      </c>
      <c r="F5" t="s">
        <v>1991</v>
      </c>
      <c r="G5" t="s">
        <v>1992</v>
      </c>
      <c r="S5" s="142"/>
      <c r="V5" t="s">
        <v>1993</v>
      </c>
      <c r="W5" t="s">
        <v>1994</v>
      </c>
      <c r="X5" s="142"/>
      <c r="AF5" s="142"/>
      <c r="BQ5" t="s">
        <v>3473</v>
      </c>
      <c r="BR5" t="s">
        <v>3536</v>
      </c>
      <c r="BW5" t="str">
        <f>'Translate&amp;Prices&amp;Logo'!$B$228</f>
        <v>Bottom</v>
      </c>
      <c r="CG5" t="s">
        <v>3606</v>
      </c>
      <c r="CH5" t="s">
        <v>3607</v>
      </c>
      <c r="CI5" t="str">
        <f>CONCATENATE("blum ",'Translate&amp;Prices&amp;Logo'!B662," 118033")</f>
        <v>blum soft-closing 118033</v>
      </c>
      <c r="CJ5" t="str">
        <f>CONCATENATE("blum ",'Translate&amp;Prices&amp;Logo'!B662," 12047")</f>
        <v>blum soft-closing 12047</v>
      </c>
      <c r="CK5" t="s">
        <v>3545</v>
      </c>
      <c r="CL5" t="s">
        <v>3546</v>
      </c>
      <c r="CM5" t="s">
        <v>3545</v>
      </c>
      <c r="CN5" t="s">
        <v>3546</v>
      </c>
      <c r="CO5" t="s">
        <v>3545</v>
      </c>
      <c r="CP5" t="s">
        <v>3546</v>
      </c>
      <c r="CQ5" t="str">
        <f>CONCATENATE("hettich ",'Translate&amp;Prices&amp;Logo'!B664," 300282")</f>
        <v>hettich bottom 300282</v>
      </c>
      <c r="CR5" t="str">
        <f>CONCATENATE("hettich ",'Translate&amp;Prices&amp;Logo'!B664," 232346")</f>
        <v>hettich bottom 232346</v>
      </c>
      <c r="CS5" t="str">
        <f>CONCATENATE("hettich ",'Translate&amp;Prices&amp;Logo'!B664," 300282")</f>
        <v>hettich bottom 300282</v>
      </c>
      <c r="CT5" t="str">
        <f>CONCATENATE("hettich ",'Translate&amp;Prices&amp;Logo'!B664," 232346")</f>
        <v>hettich bottom 232346</v>
      </c>
      <c r="CU5" t="s">
        <v>3545</v>
      </c>
      <c r="CV5" t="s">
        <v>3546</v>
      </c>
      <c r="CW5" t="s">
        <v>2019</v>
      </c>
      <c r="CX5" t="s">
        <v>2033</v>
      </c>
      <c r="CY5" t="s">
        <v>3545</v>
      </c>
      <c r="CZ5" t="s">
        <v>3546</v>
      </c>
      <c r="DA5" t="s">
        <v>2019</v>
      </c>
      <c r="DB5" t="s">
        <v>2033</v>
      </c>
      <c r="DC5" t="str">
        <f>CONCATENATE("hettich ",'Translate&amp;Prices&amp;Logo'!B664," 300282")</f>
        <v>hettich bottom 300282</v>
      </c>
      <c r="DD5" t="s">
        <v>2033</v>
      </c>
      <c r="DE5" t="str">
        <f>CONCATENATE("hettich ",'Translate&amp;Prices&amp;Logo'!B664," 300282")</f>
        <v>hettich bottom 300282</v>
      </c>
      <c r="DF5" t="s">
        <v>2033</v>
      </c>
      <c r="DG5" t="s">
        <v>3545</v>
      </c>
      <c r="DH5" t="s">
        <v>3546</v>
      </c>
      <c r="DI5" t="s">
        <v>3545</v>
      </c>
      <c r="DJ5" t="s">
        <v>3546</v>
      </c>
      <c r="DK5" t="str">
        <f>CONCATENATE("hettich ",'Translate&amp;Prices&amp;Logo'!B664," 300282")</f>
        <v>hettich bottom 300282</v>
      </c>
      <c r="DL5" t="s">
        <v>2033</v>
      </c>
      <c r="DM5" t="s">
        <v>3546</v>
      </c>
      <c r="DN5" t="s">
        <v>3545</v>
      </c>
      <c r="DO5" t="s">
        <v>3546</v>
      </c>
      <c r="DP5" t="s">
        <v>3545</v>
      </c>
      <c r="DQ5" t="s">
        <v>3572</v>
      </c>
      <c r="DR5" t="s">
        <v>2033</v>
      </c>
      <c r="DS5" t="s">
        <v>3572</v>
      </c>
      <c r="DT5" t="s">
        <v>2033</v>
      </c>
      <c r="DU5" t="s">
        <v>4123</v>
      </c>
      <c r="DV5" t="s">
        <v>2033</v>
      </c>
      <c r="DW5" t="s">
        <v>4123</v>
      </c>
      <c r="DX5" t="s">
        <v>2033</v>
      </c>
      <c r="DY5" t="s">
        <v>3545</v>
      </c>
      <c r="DZ5" t="s">
        <v>3546</v>
      </c>
      <c r="EA5" t="s">
        <v>3545</v>
      </c>
      <c r="EB5" t="s">
        <v>3546</v>
      </c>
      <c r="EC5" t="s">
        <v>3545</v>
      </c>
      <c r="ED5" t="s">
        <v>3546</v>
      </c>
      <c r="EE5" t="s">
        <v>3545</v>
      </c>
      <c r="EF5" t="s">
        <v>3546</v>
      </c>
      <c r="EG5" t="s">
        <v>5274</v>
      </c>
      <c r="EH5" t="s">
        <v>2033</v>
      </c>
      <c r="EI5" t="s">
        <v>5274</v>
      </c>
      <c r="EJ5" t="s">
        <v>2033</v>
      </c>
      <c r="EK5" t="s">
        <v>3545</v>
      </c>
      <c r="EL5" t="s">
        <v>3546</v>
      </c>
      <c r="EM5" t="s">
        <v>3545</v>
      </c>
      <c r="EN5" t="s">
        <v>3546</v>
      </c>
      <c r="EO5" t="s">
        <v>4028</v>
      </c>
      <c r="EP5" t="s">
        <v>2033</v>
      </c>
      <c r="EQ5" t="s">
        <v>4028</v>
      </c>
      <c r="ER5" t="s">
        <v>2033</v>
      </c>
      <c r="ES5" t="s">
        <v>3545</v>
      </c>
      <c r="ET5" t="s">
        <v>3546</v>
      </c>
      <c r="EU5" t="s">
        <v>3545</v>
      </c>
      <c r="EV5" t="s">
        <v>3546</v>
      </c>
      <c r="EW5" t="s">
        <v>5312</v>
      </c>
      <c r="EX5" t="s">
        <v>2033</v>
      </c>
      <c r="EY5" t="s">
        <v>5312</v>
      </c>
      <c r="EZ5" t="s">
        <v>2033</v>
      </c>
    </row>
    <row r="6" spans="1:156">
      <c r="A6" s="146" t="s">
        <v>216</v>
      </c>
      <c r="B6" t="s">
        <v>3122</v>
      </c>
      <c r="C6" s="146" t="str">
        <f t="shared" si="0"/>
        <v>_Široký ALU rámeček_Aventos_HK_XS</v>
      </c>
      <c r="D6" t="s">
        <v>1995</v>
      </c>
      <c r="E6" t="s">
        <v>1976</v>
      </c>
      <c r="F6" t="s">
        <v>1996</v>
      </c>
      <c r="G6" t="s">
        <v>1987</v>
      </c>
      <c r="H6" t="s">
        <v>1992</v>
      </c>
      <c r="S6" s="142"/>
      <c r="V6" t="s">
        <v>1994</v>
      </c>
      <c r="W6" t="s">
        <v>1997</v>
      </c>
      <c r="X6" s="142"/>
      <c r="AF6" s="142"/>
      <c r="BQ6" s="168" t="s">
        <v>3479</v>
      </c>
      <c r="BR6" t="s">
        <v>1899</v>
      </c>
      <c r="CG6" t="s">
        <v>3606</v>
      </c>
      <c r="CH6" t="s">
        <v>3607</v>
      </c>
      <c r="CI6" t="s">
        <v>3606</v>
      </c>
      <c r="CJ6" t="str">
        <f>CONCATENATE("blum ",'Translate&amp;Prices&amp;Logo'!B662," 12047")</f>
        <v>blum soft-closing 12047</v>
      </c>
      <c r="CK6" t="str">
        <f>CONCATENATE("hettich ",'Translate&amp;Prices&amp;Logo'!B662," 300279")</f>
        <v>hettich soft-closing 300279</v>
      </c>
      <c r="CL6" t="str">
        <f>CONCATENATE("hettich ",'Translate&amp;Prices&amp;Logo'!B662," 104717")</f>
        <v>hettich soft-closing 104717</v>
      </c>
      <c r="CM6" t="str">
        <f>CONCATENATE("hettich ",'Translate&amp;Prices&amp;Logo'!B662," 300279")</f>
        <v>hettich soft-closing 300279</v>
      </c>
      <c r="CN6" t="str">
        <f>CONCATENATE("hettich ",'Translate&amp;Prices&amp;Logo'!B662," 104717")</f>
        <v>hettich soft-closing 104717</v>
      </c>
      <c r="CO6" t="str">
        <f>CONCATENATE("hettich ",'Translate&amp;Prices&amp;Logo'!B662," 300279")</f>
        <v>hettich soft-closing 300279</v>
      </c>
      <c r="CP6" t="str">
        <f>CONCATENATE("hettich ",'Translate&amp;Prices&amp;Logo'!B662," 104717")</f>
        <v>hettich soft-closing 104717</v>
      </c>
      <c r="CQ6" t="str">
        <f>CONCATENATE("hettich ",'Translate&amp;Prices&amp;Logo'!B663," 300279")</f>
        <v>hettich upper 300279</v>
      </c>
      <c r="CR6" t="str">
        <f>CONCATENATE("hettich ",'Translate&amp;Prices&amp;Logo'!B663," 104717")</f>
        <v>hettich upper 104717</v>
      </c>
      <c r="CS6" t="str">
        <f>CONCATENATE("hettich ",'Translate&amp;Prices&amp;Logo'!B663," 300279")</f>
        <v>hettich upper 300279</v>
      </c>
      <c r="CT6" t="str">
        <f>CONCATENATE("hettich ",'Translate&amp;Prices&amp;Logo'!B663," 104717")</f>
        <v>hettich upper 104717</v>
      </c>
      <c r="CU6" t="str">
        <f>CONCATENATE("hettich ",'Translate&amp;Prices&amp;Logo'!B662," 300279")</f>
        <v>hettich soft-closing 300279</v>
      </c>
      <c r="CV6" t="str">
        <f>CONCATENATE("hettich ",'Translate&amp;Prices&amp;Logo'!B662," 104717")</f>
        <v>hettich soft-closing 104717</v>
      </c>
      <c r="CW6" t="s">
        <v>2021</v>
      </c>
      <c r="CX6" t="s">
        <v>2027</v>
      </c>
      <c r="CY6" t="str">
        <f>CONCATENATE("hettich ",'Translate&amp;Prices&amp;Logo'!B662," 300279")</f>
        <v>hettich soft-closing 300279</v>
      </c>
      <c r="CZ6" t="str">
        <f>CONCATENATE("hettich ",'Translate&amp;Prices&amp;Logo'!B662," 104717")</f>
        <v>hettich soft-closing 104717</v>
      </c>
      <c r="DA6" t="s">
        <v>2021</v>
      </c>
      <c r="DB6" t="s">
        <v>2027</v>
      </c>
      <c r="DC6" t="str">
        <f>CONCATENATE("blum ",'Translate&amp;Prices&amp;Logo'!B664," 12106")</f>
        <v>blum bottom 12106</v>
      </c>
      <c r="DD6" t="str">
        <f>CONCATENATE("hettich ",'Translate&amp;Prices&amp;Logo'!B664," 232346")</f>
        <v>hettich bottom 232346</v>
      </c>
      <c r="DE6" t="str">
        <f>CONCATENATE("blum ",'Translate&amp;Prices&amp;Logo'!B664," 12106")</f>
        <v>blum bottom 12106</v>
      </c>
      <c r="DF6" t="str">
        <f>CONCATENATE("hettich ",'Translate&amp;Prices&amp;Logo'!B664," 232346")</f>
        <v>hettich bottom 232346</v>
      </c>
      <c r="DG6" t="s">
        <v>2299</v>
      </c>
      <c r="DH6" t="str">
        <f>CONCATENATE("hettich ",'Translate&amp;Prices&amp;Logo'!B662," 104717")</f>
        <v>hettich soft-closing 104717</v>
      </c>
      <c r="DI6" t="str">
        <f>CONCATENATE("hettich ",'Translate&amp;Prices&amp;Logo'!B662," 300279")</f>
        <v>hettich soft-closing 300279</v>
      </c>
      <c r="DJ6" t="str">
        <f>CONCATENATE("hettich ",'Translate&amp;Prices&amp;Logo'!B662," 104717")</f>
        <v>hettich soft-closing 104717</v>
      </c>
      <c r="DK6" t="str">
        <f>CONCATENATE("blum ",'Translate&amp;Prices&amp;Logo'!B664," 12106")</f>
        <v>blum bottom 12106</v>
      </c>
      <c r="DL6" t="str">
        <f>CONCATENATE("hettich ",'Translate&amp;Prices&amp;Logo'!B664," 232346")</f>
        <v>hettich bottom 232346</v>
      </c>
      <c r="DM6" t="s">
        <v>5449</v>
      </c>
      <c r="DN6" t="s">
        <v>5450</v>
      </c>
      <c r="DO6" t="s">
        <v>5449</v>
      </c>
      <c r="DP6" t="s">
        <v>5450</v>
      </c>
      <c r="DQ6" t="s">
        <v>3573</v>
      </c>
      <c r="DR6" t="s">
        <v>3575</v>
      </c>
      <c r="DS6" t="s">
        <v>3573</v>
      </c>
      <c r="DT6" t="s">
        <v>3575</v>
      </c>
      <c r="DU6" t="s">
        <v>4128</v>
      </c>
      <c r="DV6" t="s">
        <v>4129</v>
      </c>
      <c r="DW6" t="s">
        <v>4128</v>
      </c>
      <c r="DX6" t="s">
        <v>4129</v>
      </c>
      <c r="DY6" t="s">
        <v>3578</v>
      </c>
      <c r="DZ6" t="s">
        <v>3581</v>
      </c>
      <c r="EA6" t="s">
        <v>3578</v>
      </c>
      <c r="EB6" t="s">
        <v>3581</v>
      </c>
      <c r="EC6" t="s">
        <v>5275</v>
      </c>
      <c r="ED6" t="s">
        <v>5276</v>
      </c>
      <c r="EE6" t="s">
        <v>5275</v>
      </c>
      <c r="EF6" t="s">
        <v>5276</v>
      </c>
      <c r="EG6" t="s">
        <v>5277</v>
      </c>
      <c r="EH6" t="s">
        <v>5278</v>
      </c>
      <c r="EI6" t="s">
        <v>5277</v>
      </c>
      <c r="EJ6" t="s">
        <v>5278</v>
      </c>
      <c r="EK6" t="s">
        <v>4030</v>
      </c>
      <c r="EL6" t="s">
        <v>4031</v>
      </c>
      <c r="EM6" t="s">
        <v>4030</v>
      </c>
      <c r="EN6" t="s">
        <v>4031</v>
      </c>
      <c r="EO6" t="s">
        <v>4034</v>
      </c>
      <c r="EP6" t="s">
        <v>4029</v>
      </c>
      <c r="EQ6" t="s">
        <v>4034</v>
      </c>
      <c r="ER6" t="s">
        <v>4029</v>
      </c>
      <c r="ES6" t="s">
        <v>4020</v>
      </c>
      <c r="ET6" t="s">
        <v>4021</v>
      </c>
      <c r="EU6" t="s">
        <v>4020</v>
      </c>
      <c r="EV6" t="s">
        <v>4021</v>
      </c>
      <c r="EW6" t="s">
        <v>5313</v>
      </c>
      <c r="EX6" t="s">
        <v>5314</v>
      </c>
      <c r="EY6" t="s">
        <v>5313</v>
      </c>
      <c r="EZ6" t="s">
        <v>5314</v>
      </c>
    </row>
    <row r="7" spans="1:156">
      <c r="A7" s="143" t="s">
        <v>215</v>
      </c>
      <c r="B7" s="143" t="s">
        <v>1897</v>
      </c>
      <c r="C7" s="143" t="str">
        <f t="shared" si="0"/>
        <v>_Úzký ALU rámeček_FREElight</v>
      </c>
      <c r="D7" t="s">
        <v>1998</v>
      </c>
      <c r="E7" t="s">
        <v>2299</v>
      </c>
      <c r="F7" t="s">
        <v>2000</v>
      </c>
      <c r="G7" t="s">
        <v>2300</v>
      </c>
      <c r="I7" t="s">
        <v>2003</v>
      </c>
      <c r="J7" t="s">
        <v>2302</v>
      </c>
      <c r="K7" t="s">
        <v>2303</v>
      </c>
      <c r="S7" s="142"/>
      <c r="V7" t="s">
        <v>2006</v>
      </c>
      <c r="W7" t="s">
        <v>2007</v>
      </c>
      <c r="X7" s="142"/>
      <c r="AF7" s="142"/>
      <c r="BQ7" s="57" t="s">
        <v>3479</v>
      </c>
      <c r="BR7" t="s">
        <v>1917</v>
      </c>
      <c r="CG7" t="s">
        <v>3606</v>
      </c>
      <c r="CH7" t="s">
        <v>3607</v>
      </c>
      <c r="CI7" t="s">
        <v>3606</v>
      </c>
      <c r="CJ7" t="str">
        <f>CONCATENATE("blum ",'Translate&amp;Prices&amp;Logo'!B662," 12047")</f>
        <v>blum soft-closing 12047</v>
      </c>
      <c r="CK7" t="s">
        <v>2000</v>
      </c>
      <c r="CL7" t="s">
        <v>2010</v>
      </c>
      <c r="CM7" t="s">
        <v>2000</v>
      </c>
      <c r="CN7" t="s">
        <v>2010</v>
      </c>
      <c r="CO7" t="s">
        <v>2000</v>
      </c>
      <c r="CP7" t="s">
        <v>2010</v>
      </c>
      <c r="CQ7" t="str">
        <f>CONCATENATE("blum ",'Translate&amp;Prices&amp;Logo'!B664," 12106")</f>
        <v>blum bottom 12106</v>
      </c>
      <c r="CR7" t="str">
        <f>CONCATENATE("blum ",'Translate&amp;Prices&amp;Logo'!B664," 12052")</f>
        <v>blum bottom 12052</v>
      </c>
      <c r="CS7" t="str">
        <f>CONCATENATE("blum ",'Translate&amp;Prices&amp;Logo'!B664," 12106")</f>
        <v>blum bottom 12106</v>
      </c>
      <c r="CT7" t="str">
        <f>CONCATENATE("blum ",'Translate&amp;Prices&amp;Logo'!B664," 12052")</f>
        <v>blum bottom 12052</v>
      </c>
      <c r="CU7" t="s">
        <v>2000</v>
      </c>
      <c r="CV7" t="s">
        <v>2010</v>
      </c>
      <c r="CW7" t="s">
        <v>2024</v>
      </c>
      <c r="CX7" t="s">
        <v>2029</v>
      </c>
      <c r="CY7" t="s">
        <v>2000</v>
      </c>
      <c r="CZ7" t="s">
        <v>2010</v>
      </c>
      <c r="DA7" t="s">
        <v>2024</v>
      </c>
      <c r="DB7" t="s">
        <v>2029</v>
      </c>
      <c r="DC7" t="str">
        <f>CONCATENATE("strong ",'Translate&amp;Prices&amp;Logo'!B664," 350863")</f>
        <v>strong bottom 350863</v>
      </c>
      <c r="DD7" t="str">
        <f>CONCATENATE("blum ",'Translate&amp;Prices&amp;Logo'!B664," 12052")</f>
        <v>blum bottom 12052</v>
      </c>
      <c r="DE7" t="str">
        <f>CONCATENATE("strong ",'Translate&amp;Prices&amp;Logo'!B664," 350863")</f>
        <v>strong bottom 350863</v>
      </c>
      <c r="DF7" t="str">
        <f>CONCATENATE("blum ",'Translate&amp;Prices&amp;Logo'!B664," 12052")</f>
        <v>blum bottom 12052</v>
      </c>
      <c r="DG7" t="s">
        <v>2000</v>
      </c>
      <c r="DH7" t="s">
        <v>2010</v>
      </c>
      <c r="DI7" t="s">
        <v>2000</v>
      </c>
      <c r="DJ7" t="s">
        <v>2010</v>
      </c>
      <c r="DK7" t="str">
        <f>CONCATENATE("strong ",'Translate&amp;Prices&amp;Logo'!B664," 350863")</f>
        <v>strong bottom 350863</v>
      </c>
      <c r="DL7" t="str">
        <f>CONCATENATE("blum ",'Translate&amp;Prices&amp;Logo'!B664," 12052")</f>
        <v>blum bottom 12052</v>
      </c>
      <c r="DM7" t="s">
        <v>2010</v>
      </c>
      <c r="DN7" t="s">
        <v>2000</v>
      </c>
      <c r="DO7" t="s">
        <v>2010</v>
      </c>
      <c r="DP7" t="s">
        <v>2000</v>
      </c>
      <c r="DQ7" t="s">
        <v>3574</v>
      </c>
      <c r="DR7" t="s">
        <v>3576</v>
      </c>
      <c r="DS7" t="s">
        <v>3574</v>
      </c>
      <c r="DT7" t="s">
        <v>3576</v>
      </c>
      <c r="DU7" t="s">
        <v>4130</v>
      </c>
      <c r="DV7" t="s">
        <v>4131</v>
      </c>
      <c r="DW7" t="s">
        <v>4130</v>
      </c>
      <c r="DX7" t="s">
        <v>4131</v>
      </c>
      <c r="DY7" t="s">
        <v>2000</v>
      </c>
      <c r="DZ7" t="s">
        <v>2010</v>
      </c>
      <c r="EA7" t="s">
        <v>2000</v>
      </c>
      <c r="EB7" t="s">
        <v>2010</v>
      </c>
      <c r="EC7" t="s">
        <v>2000</v>
      </c>
      <c r="ED7" t="s">
        <v>2010</v>
      </c>
      <c r="EE7" t="s">
        <v>2000</v>
      </c>
      <c r="EF7" t="s">
        <v>2010</v>
      </c>
      <c r="EG7" t="s">
        <v>5279</v>
      </c>
      <c r="EH7" t="s">
        <v>5280</v>
      </c>
      <c r="EI7" t="s">
        <v>5279</v>
      </c>
      <c r="EJ7" t="s">
        <v>5280</v>
      </c>
      <c r="EK7" t="s">
        <v>2000</v>
      </c>
      <c r="EL7" t="s">
        <v>2010</v>
      </c>
      <c r="EM7" t="s">
        <v>2000</v>
      </c>
      <c r="EN7" t="s">
        <v>2010</v>
      </c>
      <c r="EO7" t="s">
        <v>4036</v>
      </c>
      <c r="EP7" t="s">
        <v>4035</v>
      </c>
      <c r="EQ7" t="s">
        <v>4036</v>
      </c>
      <c r="ER7" t="s">
        <v>4035</v>
      </c>
      <c r="ES7" t="s">
        <v>2000</v>
      </c>
      <c r="ET7" t="s">
        <v>2010</v>
      </c>
      <c r="EU7" t="s">
        <v>2000</v>
      </c>
      <c r="EV7" t="s">
        <v>2010</v>
      </c>
      <c r="EW7" t="s">
        <v>5315</v>
      </c>
      <c r="EX7" t="s">
        <v>5316</v>
      </c>
      <c r="EY7" t="s">
        <v>5315</v>
      </c>
      <c r="EZ7" t="s">
        <v>5316</v>
      </c>
    </row>
    <row r="8" spans="1:156">
      <c r="A8" s="143" t="s">
        <v>216</v>
      </c>
      <c r="B8" s="143" t="s">
        <v>1897</v>
      </c>
      <c r="C8" s="143" t="str">
        <f t="shared" si="0"/>
        <v>_Široký ALU rámeček_FREElight</v>
      </c>
      <c r="D8" t="s">
        <v>2008</v>
      </c>
      <c r="E8" t="s">
        <v>2304</v>
      </c>
      <c r="F8" t="s">
        <v>2010</v>
      </c>
      <c r="G8" t="s">
        <v>2305</v>
      </c>
      <c r="H8" t="s">
        <v>2012</v>
      </c>
      <c r="I8" t="s">
        <v>2306</v>
      </c>
      <c r="S8" s="142"/>
      <c r="V8" t="s">
        <v>2014</v>
      </c>
      <c r="W8" t="s">
        <v>2015</v>
      </c>
      <c r="X8" s="142"/>
      <c r="AF8" s="142"/>
      <c r="CG8" t="s">
        <v>3606</v>
      </c>
      <c r="CH8" t="s">
        <v>3607</v>
      </c>
      <c r="CI8" t="s">
        <v>3606</v>
      </c>
      <c r="CJ8" t="str">
        <f>CONCATENATE("blum ",'Translate&amp;Prices&amp;Logo'!B662," 12047")</f>
        <v>blum soft-closing 12047</v>
      </c>
      <c r="CK8" t="s">
        <v>2003</v>
      </c>
      <c r="CL8" t="str">
        <f>CONCATENATE("blum ",'Translate&amp;Prices&amp;Logo'!B662," 12047")</f>
        <v>blum soft-closing 12047</v>
      </c>
      <c r="CM8" t="s">
        <v>2003</v>
      </c>
      <c r="CN8" t="str">
        <f>CONCATENATE("blum ",'Translate&amp;Prices&amp;Logo'!B662," 12047")</f>
        <v>blum soft-closing 12047</v>
      </c>
      <c r="CO8" t="s">
        <v>2003</v>
      </c>
      <c r="CP8" t="str">
        <f>CONCATENATE("blum ",'Translate&amp;Prices&amp;Logo'!B662," 12047")</f>
        <v>blum soft-closing 12047</v>
      </c>
      <c r="CQ8" t="str">
        <f>CONCATENATE("strong ",'Translate&amp;Prices&amp;Logo'!B664," 350863")</f>
        <v>strong bottom 350863</v>
      </c>
      <c r="CR8" t="str">
        <f>CONCATENATE("blum ",'Translate&amp;Prices&amp;Logo'!B663," 12047")</f>
        <v>blum upper 12047</v>
      </c>
      <c r="CS8" t="str">
        <f>CONCATENATE("strong ",'Translate&amp;Prices&amp;Logo'!B664," 350863")</f>
        <v>strong bottom 350863</v>
      </c>
      <c r="CT8" t="str">
        <f>CONCATENATE("blum ",'Translate&amp;Prices&amp;Logo'!B663," 12047")</f>
        <v>blum upper 12047</v>
      </c>
      <c r="CU8" t="s">
        <v>2003</v>
      </c>
      <c r="CV8" t="str">
        <f>CONCATENATE("blum ",'Translate&amp;Prices&amp;Logo'!B662," 12047")</f>
        <v>blum soft-closing 12047</v>
      </c>
      <c r="CW8" t="s">
        <v>2024</v>
      </c>
      <c r="CX8" t="s">
        <v>2031</v>
      </c>
      <c r="CY8" t="s">
        <v>2003</v>
      </c>
      <c r="CZ8" t="str">
        <f>CONCATENATE("blum ",'Translate&amp;Prices&amp;Logo'!B662," 12047")</f>
        <v>blum soft-closing 12047</v>
      </c>
      <c r="DA8" t="s">
        <v>2024</v>
      </c>
      <c r="DB8" t="s">
        <v>2031</v>
      </c>
      <c r="DC8" t="str">
        <f>CONCATENATE("strong ",'Translate&amp;Prices&amp;Logo'!B664," 350863")</f>
        <v>strong bottom 350863</v>
      </c>
      <c r="DD8" t="str">
        <f>CONCATENATE("strong ",'Translate&amp;Prices&amp;Logo'!B664," 350834")</f>
        <v>strong bottom 350834</v>
      </c>
      <c r="DE8" t="str">
        <f>CONCATENATE("strong ",'Translate&amp;Prices&amp;Logo'!B664," 350863")</f>
        <v>strong bottom 350863</v>
      </c>
      <c r="DF8" t="str">
        <f>CONCATENATE("strong ",'Translate&amp;Prices&amp;Logo'!B664," 350834")</f>
        <v>strong bottom 350834</v>
      </c>
      <c r="DG8" t="s">
        <v>2003</v>
      </c>
      <c r="DH8" t="str">
        <f>CONCATENATE("blum ",'Translate&amp;Prices&amp;Logo'!B662," 12047")</f>
        <v>blum soft-closing 12047</v>
      </c>
      <c r="DI8" t="s">
        <v>2003</v>
      </c>
      <c r="DJ8" t="str">
        <f>CONCATENATE("blum ",'Translate&amp;Prices&amp;Logo'!B662," 12047")</f>
        <v>blum soft-closing 12047</v>
      </c>
      <c r="DK8" t="str">
        <f>CONCATENATE("strong ",'Translate&amp;Prices&amp;Logo'!B664," 350863")</f>
        <v>strong bottom 350863</v>
      </c>
      <c r="DL8" t="str">
        <f>CONCATENATE("strong ",'Translate&amp;Prices&amp;Logo'!B664," 350834")</f>
        <v>strong bottom 350834</v>
      </c>
      <c r="DM8" t="s">
        <v>5451</v>
      </c>
      <c r="DN8" t="s">
        <v>2003</v>
      </c>
      <c r="DO8" t="s">
        <v>5451</v>
      </c>
      <c r="DP8" t="s">
        <v>2003</v>
      </c>
      <c r="DR8" t="s">
        <v>3577</v>
      </c>
      <c r="DS8" t="s">
        <v>3574</v>
      </c>
      <c r="DT8" t="s">
        <v>3577</v>
      </c>
      <c r="DU8" t="s">
        <v>4130</v>
      </c>
      <c r="DV8" t="s">
        <v>4132</v>
      </c>
      <c r="DW8" t="s">
        <v>4130</v>
      </c>
      <c r="DX8" t="s">
        <v>4132</v>
      </c>
      <c r="DY8" t="s">
        <v>2003</v>
      </c>
      <c r="DZ8" t="s">
        <v>3582</v>
      </c>
      <c r="EA8" t="s">
        <v>2003</v>
      </c>
      <c r="EB8" t="s">
        <v>3582</v>
      </c>
      <c r="EC8" t="s">
        <v>2003</v>
      </c>
      <c r="ED8" t="s">
        <v>5281</v>
      </c>
      <c r="EE8" t="s">
        <v>2003</v>
      </c>
      <c r="EF8" t="s">
        <v>5281</v>
      </c>
      <c r="EG8" t="s">
        <v>5279</v>
      </c>
      <c r="EH8" t="s">
        <v>5282</v>
      </c>
      <c r="EI8" t="s">
        <v>5279</v>
      </c>
      <c r="EJ8" t="s">
        <v>5282</v>
      </c>
      <c r="EK8" t="s">
        <v>2003</v>
      </c>
      <c r="EL8" t="s">
        <v>4027</v>
      </c>
      <c r="EM8" t="s">
        <v>2003</v>
      </c>
      <c r="EN8" t="s">
        <v>4027</v>
      </c>
      <c r="EO8" t="s">
        <v>4036</v>
      </c>
      <c r="EP8" t="s">
        <v>4038</v>
      </c>
      <c r="EQ8" t="s">
        <v>4036</v>
      </c>
      <c r="ER8" t="s">
        <v>4038</v>
      </c>
      <c r="ES8" t="s">
        <v>2003</v>
      </c>
      <c r="ET8" t="s">
        <v>4019</v>
      </c>
      <c r="EU8" t="s">
        <v>2003</v>
      </c>
      <c r="EV8" t="s">
        <v>4019</v>
      </c>
      <c r="EW8" t="s">
        <v>5315</v>
      </c>
      <c r="EX8" t="s">
        <v>5317</v>
      </c>
      <c r="EY8" t="s">
        <v>5315</v>
      </c>
      <c r="EZ8" t="s">
        <v>5317</v>
      </c>
    </row>
    <row r="9" spans="1:156">
      <c r="A9" s="146" t="s">
        <v>215</v>
      </c>
      <c r="B9" s="146" t="s">
        <v>1900</v>
      </c>
      <c r="C9" s="146" t="str">
        <f t="shared" si="0"/>
        <v>_Úzký ALU rámeček_FREEfold</v>
      </c>
      <c r="D9" t="s">
        <v>1998</v>
      </c>
      <c r="E9" t="s">
        <v>2299</v>
      </c>
      <c r="F9" t="s">
        <v>2000</v>
      </c>
      <c r="G9" t="s">
        <v>2300</v>
      </c>
      <c r="I9" t="s">
        <v>2003</v>
      </c>
      <c r="J9" t="s">
        <v>2302</v>
      </c>
      <c r="K9" t="s">
        <v>2303</v>
      </c>
      <c r="S9" s="142"/>
      <c r="V9" t="s">
        <v>2016</v>
      </c>
      <c r="W9" t="s">
        <v>1994</v>
      </c>
      <c r="X9" s="142"/>
      <c r="AF9" s="142"/>
      <c r="CG9" t="s">
        <v>3606</v>
      </c>
      <c r="CH9" t="s">
        <v>3607</v>
      </c>
      <c r="CI9" t="s">
        <v>3606</v>
      </c>
      <c r="CJ9" t="str">
        <f>CONCATENATE("blum ",'Translate&amp;Prices&amp;Logo'!B662," 12047")</f>
        <v>blum soft-closing 12047</v>
      </c>
      <c r="CK9" t="str">
        <f>CONCATENATE("strong ",'Translate&amp;Prices&amp;Logo'!B662," 350863")</f>
        <v>strong soft-closing 350863</v>
      </c>
      <c r="CL9" t="s">
        <v>2012</v>
      </c>
      <c r="CM9" t="str">
        <f>CONCATENATE("strong ",'Translate&amp;Prices&amp;Logo'!B662," 350863")</f>
        <v>strong soft-closing 350863</v>
      </c>
      <c r="CN9" t="s">
        <v>2012</v>
      </c>
      <c r="CO9" t="str">
        <f>CONCATENATE("strong ",'Translate&amp;Prices&amp;Logo'!B662," 350863")</f>
        <v>strong soft-closing 350863</v>
      </c>
      <c r="CP9" t="s">
        <v>2012</v>
      </c>
      <c r="CQ9" t="str">
        <f>CONCATENATE("strong ",'Translate&amp;Prices&amp;Logo'!B663," 350863")</f>
        <v>strong upper 350863</v>
      </c>
      <c r="CR9" t="str">
        <f>CONCATENATE("strong ",'Translate&amp;Prices&amp;Logo'!B664," 350834")</f>
        <v>strong bottom 350834</v>
      </c>
      <c r="CS9" t="str">
        <f>CONCATENATE("strong ",'Translate&amp;Prices&amp;Logo'!B663," 350863")</f>
        <v>strong upper 350863</v>
      </c>
      <c r="CT9" t="str">
        <f>CONCATENATE("strong ",'Translate&amp;Prices&amp;Logo'!B664," 350834")</f>
        <v>strong bottom 350834</v>
      </c>
      <c r="CU9" t="str">
        <f>CONCATENATE("strong ",'Translate&amp;Prices&amp;Logo'!B662," 350863")</f>
        <v>strong soft-closing 350863</v>
      </c>
      <c r="CV9" t="s">
        <v>2012</v>
      </c>
      <c r="CW9" t="s">
        <v>2024</v>
      </c>
      <c r="CX9" t="s">
        <v>2031</v>
      </c>
      <c r="CY9" t="str">
        <f>CONCATENATE("strong ",'Translate&amp;Prices&amp;Logo'!B662," 350863")</f>
        <v>strong soft-closing 350863</v>
      </c>
      <c r="CZ9" t="s">
        <v>2012</v>
      </c>
      <c r="DA9" t="s">
        <v>2024</v>
      </c>
      <c r="DB9" t="s">
        <v>2031</v>
      </c>
      <c r="DC9" t="str">
        <f>CONCATENATE("strong ",'Translate&amp;Prices&amp;Logo'!B664," 350863")</f>
        <v>strong bottom 350863</v>
      </c>
      <c r="DD9" t="str">
        <f>CONCATENATE("strong ",'Translate&amp;Prices&amp;Logo'!B664," 350834")</f>
        <v>strong bottom 350834</v>
      </c>
      <c r="DE9" t="str">
        <f>CONCATENATE("strong ",'Translate&amp;Prices&amp;Logo'!B664," 350863")</f>
        <v>strong bottom 350863</v>
      </c>
      <c r="DF9" t="str">
        <f>CONCATENATE("strong ",'Translate&amp;Prices&amp;Logo'!B664," 350834")</f>
        <v>strong bottom 350834</v>
      </c>
      <c r="DG9" t="s">
        <v>2302</v>
      </c>
      <c r="DH9" t="s">
        <v>2012</v>
      </c>
      <c r="DI9" t="str">
        <f>CONCATENATE("strong ",'Translate&amp;Prices&amp;Logo'!B662," 350863")</f>
        <v>strong soft-closing 350863</v>
      </c>
      <c r="DJ9" t="s">
        <v>2012</v>
      </c>
      <c r="DK9" t="str">
        <f>CONCATENATE("strong ",'Translate&amp;Prices&amp;Logo'!B664," 350863")</f>
        <v>strong bottom 350863</v>
      </c>
      <c r="DL9" t="str">
        <f>CONCATENATE("strong ",'Translate&amp;Prices&amp;Logo'!B664," 350834")</f>
        <v>strong bottom 350834</v>
      </c>
      <c r="DM9" t="s">
        <v>2012</v>
      </c>
      <c r="DN9" t="s">
        <v>5452</v>
      </c>
      <c r="DO9" t="s">
        <v>2012</v>
      </c>
      <c r="DP9" t="s">
        <v>5452</v>
      </c>
      <c r="DR9" t="s">
        <v>3577</v>
      </c>
      <c r="DS9" t="s">
        <v>3574</v>
      </c>
      <c r="DT9" t="s">
        <v>3577</v>
      </c>
      <c r="DU9" t="s">
        <v>4130</v>
      </c>
      <c r="DV9" t="s">
        <v>4132</v>
      </c>
      <c r="DW9" t="s">
        <v>4130</v>
      </c>
      <c r="DX9" t="s">
        <v>4132</v>
      </c>
      <c r="DY9" t="s">
        <v>3579</v>
      </c>
      <c r="DZ9" t="s">
        <v>2012</v>
      </c>
      <c r="EA9" t="s">
        <v>3579</v>
      </c>
      <c r="EB9" t="s">
        <v>2012</v>
      </c>
      <c r="EC9" t="s">
        <v>5283</v>
      </c>
      <c r="ED9" t="s">
        <v>2012</v>
      </c>
      <c r="EE9" t="s">
        <v>5283</v>
      </c>
      <c r="EF9" t="s">
        <v>2012</v>
      </c>
      <c r="EG9" t="s">
        <v>5279</v>
      </c>
      <c r="EH9" t="s">
        <v>5282</v>
      </c>
      <c r="EI9" t="s">
        <v>5279</v>
      </c>
      <c r="EJ9" t="s">
        <v>5282</v>
      </c>
      <c r="EK9" t="s">
        <v>4039</v>
      </c>
      <c r="EL9" t="s">
        <v>2012</v>
      </c>
      <c r="EM9" t="s">
        <v>4039</v>
      </c>
      <c r="EN9" t="s">
        <v>2012</v>
      </c>
      <c r="EO9" t="s">
        <v>4036</v>
      </c>
      <c r="EP9" t="s">
        <v>4038</v>
      </c>
      <c r="EQ9" t="s">
        <v>4036</v>
      </c>
      <c r="ER9" t="s">
        <v>4038</v>
      </c>
      <c r="ES9" t="s">
        <v>4022</v>
      </c>
      <c r="ET9" t="s">
        <v>2012</v>
      </c>
      <c r="EU9" t="s">
        <v>4022</v>
      </c>
      <c r="EV9" t="s">
        <v>2012</v>
      </c>
      <c r="EW9" t="s">
        <v>5315</v>
      </c>
      <c r="EX9" t="s">
        <v>5317</v>
      </c>
      <c r="EY9" t="s">
        <v>5315</v>
      </c>
      <c r="EZ9" t="s">
        <v>5317</v>
      </c>
    </row>
    <row r="10" spans="1:156">
      <c r="A10" s="146" t="s">
        <v>216</v>
      </c>
      <c r="B10" s="146" t="s">
        <v>1900</v>
      </c>
      <c r="C10" s="146" t="str">
        <f t="shared" si="0"/>
        <v>_Široký ALU rámeček_FREEfold</v>
      </c>
      <c r="D10" t="s">
        <v>2008</v>
      </c>
      <c r="E10" t="s">
        <v>2304</v>
      </c>
      <c r="F10" t="s">
        <v>2010</v>
      </c>
      <c r="G10" t="s">
        <v>2305</v>
      </c>
      <c r="H10" t="s">
        <v>2012</v>
      </c>
      <c r="I10" t="s">
        <v>2306</v>
      </c>
      <c r="S10" s="142"/>
      <c r="W10" t="s">
        <v>2017</v>
      </c>
      <c r="X10" s="142"/>
      <c r="AF10" s="142"/>
      <c r="CG10" t="s">
        <v>3606</v>
      </c>
      <c r="CH10" t="s">
        <v>3607</v>
      </c>
      <c r="CI10" t="s">
        <v>3606</v>
      </c>
      <c r="CJ10" t="str">
        <f>CONCATENATE("blum ",'Translate&amp;Prices&amp;Logo'!B662," 12047")</f>
        <v>blum soft-closing 12047</v>
      </c>
      <c r="CK10" t="str">
        <f>CONCATENATE("strong ",'Translate&amp;Prices&amp;Logo'!B662," 92584T")</f>
        <v>strong soft-closing 92584T</v>
      </c>
      <c r="CL10" t="str">
        <f>CONCATENATE("strong ",'Translate&amp;Prices&amp;Logo'!B662," 350827")</f>
        <v>strong soft-closing 350827</v>
      </c>
      <c r="CM10" t="str">
        <f>CONCATENATE("strong ",'Translate&amp;Prices&amp;Logo'!B662," 92584T")</f>
        <v>strong soft-closing 92584T</v>
      </c>
      <c r="CN10" t="str">
        <f>CONCATENATE("strong ",'Translate&amp;Prices&amp;Logo'!B662," 350827")</f>
        <v>strong soft-closing 350827</v>
      </c>
      <c r="CO10" t="str">
        <f>CONCATENATE("strong ",'Translate&amp;Prices&amp;Logo'!B662," 92584T")</f>
        <v>strong soft-closing 92584T</v>
      </c>
      <c r="CP10" t="str">
        <f>CONCATENATE("strong ",'Translate&amp;Prices&amp;Logo'!B662," 350827")</f>
        <v>strong soft-closing 350827</v>
      </c>
      <c r="CQ10" t="str">
        <f>CONCATENATE("strong ",'Translate&amp;Prices&amp;Logo'!B663," 92584T")</f>
        <v>strong upper 92584T</v>
      </c>
      <c r="CR10" t="str">
        <f>CONCATENATE("strong ",'Translate&amp;Prices&amp;Logo'!B663," 350827")</f>
        <v>strong upper 350827</v>
      </c>
      <c r="CS10" t="str">
        <f>CONCATENATE("strong ",'Translate&amp;Prices&amp;Logo'!B663," 92584T")</f>
        <v>strong upper 92584T</v>
      </c>
      <c r="CT10" t="str">
        <f>CONCATENATE("strong ",'Translate&amp;Prices&amp;Logo'!B663," 350827")</f>
        <v>strong upper 350827</v>
      </c>
      <c r="CU10" t="str">
        <f>CONCATENATE("strong ",'Translate&amp;Prices&amp;Logo'!B662," 92584T")</f>
        <v>strong soft-closing 92584T</v>
      </c>
      <c r="CV10" t="str">
        <f>CONCATENATE("strong ",'Translate&amp;Prices&amp;Logo'!B662," 350827")</f>
        <v>strong soft-closing 350827</v>
      </c>
      <c r="CW10" t="s">
        <v>2024</v>
      </c>
      <c r="CX10" t="s">
        <v>2031</v>
      </c>
      <c r="CY10" t="str">
        <f>CONCATENATE("strong ",'Translate&amp;Prices&amp;Logo'!B662," 92584T")</f>
        <v>strong soft-closing 92584T</v>
      </c>
      <c r="CZ10" t="str">
        <f>CONCATENATE("strong ",'Translate&amp;Prices&amp;Logo'!B662," 350827")</f>
        <v>strong soft-closing 350827</v>
      </c>
      <c r="DA10" t="s">
        <v>2024</v>
      </c>
      <c r="DB10" t="s">
        <v>2031</v>
      </c>
      <c r="DC10" t="str">
        <f>CONCATENATE("strong ",'Translate&amp;Prices&amp;Logo'!B664," 350863")</f>
        <v>strong bottom 350863</v>
      </c>
      <c r="DD10" t="str">
        <f>CONCATENATE("strong ",'Translate&amp;Prices&amp;Logo'!B664," 350834")</f>
        <v>strong bottom 350834</v>
      </c>
      <c r="DE10" t="str">
        <f>CONCATENATE("strong ",'Translate&amp;Prices&amp;Logo'!B664," 350863")</f>
        <v>strong bottom 350863</v>
      </c>
      <c r="DF10" t="str">
        <f>CONCATENATE("strong ",'Translate&amp;Prices&amp;Logo'!B664," 350834")</f>
        <v>strong bottom 350834</v>
      </c>
      <c r="DG10" t="s">
        <v>2303</v>
      </c>
      <c r="DH10" t="str">
        <f>CONCATENATE("strong ",'Translate&amp;Prices&amp;Logo'!B662," 350827")</f>
        <v>strong soft-closing 350827</v>
      </c>
      <c r="DI10" t="str">
        <f>CONCATENATE("strong ",'Translate&amp;Prices&amp;Logo'!B662," 92584T")</f>
        <v>strong soft-closing 92584T</v>
      </c>
      <c r="DJ10" t="str">
        <f>CONCATENATE("strong ",'Translate&amp;Prices&amp;Logo'!B662," 350827")</f>
        <v>strong soft-closing 350827</v>
      </c>
      <c r="DK10" t="str">
        <f>CONCATENATE("strong ",'Translate&amp;Prices&amp;Logo'!B664," 350863")</f>
        <v>strong bottom 350863</v>
      </c>
      <c r="DL10" t="str">
        <f>CONCATENATE("strong ",'Translate&amp;Prices&amp;Logo'!B664," 350834")</f>
        <v>strong bottom 350834</v>
      </c>
      <c r="DM10" t="s">
        <v>5453</v>
      </c>
      <c r="DN10" t="s">
        <v>5454</v>
      </c>
      <c r="DO10" t="s">
        <v>5453</v>
      </c>
      <c r="DP10" t="s">
        <v>5454</v>
      </c>
      <c r="DR10" t="s">
        <v>3577</v>
      </c>
      <c r="DS10" t="s">
        <v>3574</v>
      </c>
      <c r="DT10" t="s">
        <v>3577</v>
      </c>
      <c r="DU10" t="s">
        <v>4130</v>
      </c>
      <c r="DV10" t="s">
        <v>4132</v>
      </c>
      <c r="DW10" t="s">
        <v>4130</v>
      </c>
      <c r="DX10" t="s">
        <v>4132</v>
      </c>
      <c r="DY10" t="s">
        <v>3580</v>
      </c>
      <c r="DZ10" t="s">
        <v>3583</v>
      </c>
      <c r="EA10" t="s">
        <v>3580</v>
      </c>
      <c r="EB10" t="s">
        <v>3583</v>
      </c>
      <c r="EC10" t="s">
        <v>5284</v>
      </c>
      <c r="ED10" t="s">
        <v>5285</v>
      </c>
      <c r="EE10" t="s">
        <v>5284</v>
      </c>
      <c r="EF10" t="s">
        <v>5285</v>
      </c>
      <c r="EG10" t="s">
        <v>5279</v>
      </c>
      <c r="EH10" t="s">
        <v>5282</v>
      </c>
      <c r="EI10" t="s">
        <v>5279</v>
      </c>
      <c r="EJ10" t="s">
        <v>5282</v>
      </c>
      <c r="EK10" t="s">
        <v>4041</v>
      </c>
      <c r="EL10" t="s">
        <v>4042</v>
      </c>
      <c r="EM10" t="s">
        <v>4041</v>
      </c>
      <c r="EN10" t="s">
        <v>4042</v>
      </c>
      <c r="EO10" t="s">
        <v>4036</v>
      </c>
      <c r="EP10" t="s">
        <v>4038</v>
      </c>
      <c r="EQ10" t="s">
        <v>4036</v>
      </c>
      <c r="ER10" t="s">
        <v>4038</v>
      </c>
      <c r="ES10" t="s">
        <v>4023</v>
      </c>
      <c r="ET10" t="s">
        <v>4024</v>
      </c>
      <c r="EU10" t="s">
        <v>4023</v>
      </c>
      <c r="EV10" t="s">
        <v>4024</v>
      </c>
      <c r="EW10" t="s">
        <v>5315</v>
      </c>
      <c r="EX10" t="s">
        <v>5317</v>
      </c>
      <c r="EY10" t="s">
        <v>5315</v>
      </c>
      <c r="EZ10" t="s">
        <v>5317</v>
      </c>
    </row>
    <row r="11" spans="1:156">
      <c r="A11" s="143" t="s">
        <v>215</v>
      </c>
      <c r="B11" s="143" t="s">
        <v>1907</v>
      </c>
      <c r="C11" s="143" t="str">
        <f t="shared" si="0"/>
        <v>_Úzký ALU rámeček_Maxi</v>
      </c>
      <c r="D11" t="s">
        <v>1998</v>
      </c>
      <c r="E11" t="s">
        <v>2299</v>
      </c>
      <c r="F11" t="s">
        <v>2000</v>
      </c>
      <c r="G11" t="s">
        <v>2300</v>
      </c>
      <c r="I11" t="s">
        <v>2003</v>
      </c>
      <c r="J11" t="s">
        <v>2302</v>
      </c>
      <c r="K11" t="s">
        <v>2303</v>
      </c>
      <c r="S11" s="142"/>
      <c r="W11" t="s">
        <v>2018</v>
      </c>
      <c r="X11" s="142"/>
      <c r="AF11" s="142"/>
    </row>
    <row r="12" spans="1:156">
      <c r="A12" s="143" t="s">
        <v>216</v>
      </c>
      <c r="B12" s="143" t="s">
        <v>1907</v>
      </c>
      <c r="C12" s="143" t="str">
        <f t="shared" si="0"/>
        <v>_Široký ALU rámeček_Maxi</v>
      </c>
      <c r="D12" t="s">
        <v>2008</v>
      </c>
      <c r="E12" t="s">
        <v>2304</v>
      </c>
      <c r="F12" t="s">
        <v>2010</v>
      </c>
      <c r="G12" t="s">
        <v>2305</v>
      </c>
      <c r="H12" t="s">
        <v>2012</v>
      </c>
      <c r="I12" t="s">
        <v>2306</v>
      </c>
      <c r="S12" s="142"/>
      <c r="T12">
        <v>2</v>
      </c>
      <c r="U12" t="s">
        <v>2</v>
      </c>
      <c r="V12" t="s">
        <v>1981</v>
      </c>
      <c r="W12" t="s">
        <v>1982</v>
      </c>
      <c r="X12" s="142"/>
      <c r="AF12" s="142"/>
    </row>
    <row r="13" spans="1:156">
      <c r="A13" s="146" t="s">
        <v>215</v>
      </c>
      <c r="B13" s="146" t="s">
        <v>1905</v>
      </c>
      <c r="C13" s="146" t="str">
        <f t="shared" si="0"/>
        <v>_Úzký ALU rámeček_Duo Forte</v>
      </c>
      <c r="D13" t="s">
        <v>2019</v>
      </c>
      <c r="E13" t="s">
        <v>2020</v>
      </c>
      <c r="F13" t="s">
        <v>2021</v>
      </c>
      <c r="G13" t="s">
        <v>2022</v>
      </c>
      <c r="I13" t="s">
        <v>2024</v>
      </c>
      <c r="J13" t="s">
        <v>2025</v>
      </c>
      <c r="K13" t="s">
        <v>2026</v>
      </c>
      <c r="S13" s="142"/>
      <c r="V13" t="s">
        <v>1988</v>
      </c>
      <c r="W13" t="s">
        <v>1989</v>
      </c>
      <c r="X13" s="142"/>
      <c r="AF13" s="142"/>
    </row>
    <row r="14" spans="1:156">
      <c r="A14" s="146" t="s">
        <v>216</v>
      </c>
      <c r="B14" s="146" t="s">
        <v>1905</v>
      </c>
      <c r="C14" s="146" t="str">
        <f t="shared" si="0"/>
        <v>_Široký ALU rámeček_Duo Forte</v>
      </c>
      <c r="D14" t="s">
        <v>2027</v>
      </c>
      <c r="E14" t="s">
        <v>2028</v>
      </c>
      <c r="F14" t="s">
        <v>2029</v>
      </c>
      <c r="G14" t="s">
        <v>2030</v>
      </c>
      <c r="H14" t="s">
        <v>2031</v>
      </c>
      <c r="I14" t="s">
        <v>2032</v>
      </c>
      <c r="S14" s="142"/>
      <c r="V14" t="s">
        <v>1993</v>
      </c>
      <c r="W14" t="s">
        <v>1994</v>
      </c>
      <c r="X14" s="142"/>
      <c r="AF14" s="142"/>
    </row>
    <row r="15" spans="1:156">
      <c r="A15" s="143" t="s">
        <v>215</v>
      </c>
      <c r="B15" s="143" t="s">
        <v>1902</v>
      </c>
      <c r="C15" s="143" t="str">
        <f t="shared" si="0"/>
        <v>_Úzký ALU rámeček_Duo</v>
      </c>
      <c r="D15" t="s">
        <v>2019</v>
      </c>
      <c r="E15" t="s">
        <v>2020</v>
      </c>
      <c r="F15" t="s">
        <v>2021</v>
      </c>
      <c r="G15" t="s">
        <v>2022</v>
      </c>
      <c r="I15" t="s">
        <v>2024</v>
      </c>
      <c r="J15" t="s">
        <v>2025</v>
      </c>
      <c r="K15" t="s">
        <v>2026</v>
      </c>
      <c r="S15" s="142"/>
      <c r="V15" t="s">
        <v>1994</v>
      </c>
      <c r="W15" t="s">
        <v>1997</v>
      </c>
      <c r="X15" s="142"/>
      <c r="AF15" s="142"/>
    </row>
    <row r="16" spans="1:156">
      <c r="A16" s="143" t="s">
        <v>216</v>
      </c>
      <c r="B16" s="143" t="s">
        <v>1902</v>
      </c>
      <c r="C16" s="143" t="str">
        <f t="shared" si="0"/>
        <v>_Široký ALU rámeček_Duo</v>
      </c>
      <c r="D16" t="s">
        <v>2027</v>
      </c>
      <c r="E16" t="s">
        <v>2028</v>
      </c>
      <c r="F16" t="s">
        <v>2029</v>
      </c>
      <c r="G16" t="s">
        <v>2030</v>
      </c>
      <c r="H16" t="s">
        <v>2031</v>
      </c>
      <c r="I16" t="s">
        <v>2032</v>
      </c>
      <c r="S16" s="142"/>
      <c r="V16" t="s">
        <v>2006</v>
      </c>
      <c r="W16" t="s">
        <v>2007</v>
      </c>
      <c r="X16" s="142"/>
      <c r="AF16" s="142"/>
    </row>
    <row r="17" spans="1:32">
      <c r="A17" s="146" t="s">
        <v>215</v>
      </c>
      <c r="B17" s="146" t="s">
        <v>1908</v>
      </c>
      <c r="C17" s="146" t="str">
        <f t="shared" si="0"/>
        <v>_Úzký ALU rámeček_K12</v>
      </c>
      <c r="D17" t="s">
        <v>1998</v>
      </c>
      <c r="E17" t="s">
        <v>2299</v>
      </c>
      <c r="F17" t="s">
        <v>2000</v>
      </c>
      <c r="G17" t="s">
        <v>2300</v>
      </c>
      <c r="I17" t="s">
        <v>2003</v>
      </c>
      <c r="J17" t="s">
        <v>2302</v>
      </c>
      <c r="K17" t="s">
        <v>2303</v>
      </c>
      <c r="S17" s="142"/>
      <c r="V17" t="s">
        <v>2014</v>
      </c>
      <c r="W17" t="s">
        <v>2015</v>
      </c>
      <c r="X17" s="142"/>
      <c r="AF17" s="142"/>
    </row>
    <row r="18" spans="1:32">
      <c r="A18" s="146" t="s">
        <v>216</v>
      </c>
      <c r="B18" s="146" t="s">
        <v>1908</v>
      </c>
      <c r="C18" s="146" t="str">
        <f t="shared" si="0"/>
        <v>_Široký ALU rámeček_K12</v>
      </c>
      <c r="D18" t="s">
        <v>2008</v>
      </c>
      <c r="E18" t="s">
        <v>2304</v>
      </c>
      <c r="F18" t="s">
        <v>2010</v>
      </c>
      <c r="G18" t="s">
        <v>2305</v>
      </c>
      <c r="H18" t="s">
        <v>2012</v>
      </c>
      <c r="I18" t="s">
        <v>2306</v>
      </c>
      <c r="S18" s="142"/>
      <c r="V18" t="s">
        <v>2016</v>
      </c>
      <c r="W18" t="s">
        <v>1994</v>
      </c>
      <c r="X18" s="142"/>
      <c r="AF18" s="142"/>
    </row>
    <row r="19" spans="1:32">
      <c r="A19" s="143" t="s">
        <v>215</v>
      </c>
      <c r="B19" s="143" t="s">
        <v>1910</v>
      </c>
      <c r="C19" s="143" t="str">
        <f t="shared" si="0"/>
        <v>_Úzký ALU rámeček_Spodní K12</v>
      </c>
      <c r="D19" t="s">
        <v>2019</v>
      </c>
      <c r="E19" t="s">
        <v>2021</v>
      </c>
      <c r="F19" t="s">
        <v>2024</v>
      </c>
      <c r="S19" s="142"/>
      <c r="W19" t="s">
        <v>2017</v>
      </c>
      <c r="X19" s="142"/>
      <c r="AF19" s="142"/>
    </row>
    <row r="20" spans="1:32">
      <c r="A20" s="143" t="s">
        <v>216</v>
      </c>
      <c r="B20" s="143" t="s">
        <v>1910</v>
      </c>
      <c r="C20" s="143" t="str">
        <f t="shared" si="0"/>
        <v>_Široký ALU rámeček_Spodní K12</v>
      </c>
      <c r="D20" t="s">
        <v>2033</v>
      </c>
      <c r="E20" t="s">
        <v>2027</v>
      </c>
      <c r="F20" t="s">
        <v>2029</v>
      </c>
      <c r="G20" t="s">
        <v>2031</v>
      </c>
      <c r="S20" s="142"/>
      <c r="W20" t="s">
        <v>2018</v>
      </c>
      <c r="X20" s="142"/>
      <c r="AF20" s="142"/>
    </row>
    <row r="21" spans="1:32">
      <c r="A21" s="146" t="s">
        <v>215</v>
      </c>
      <c r="B21" s="146" t="s">
        <v>1911</v>
      </c>
      <c r="C21" s="146" t="str">
        <f t="shared" si="0"/>
        <v>_Úzký ALU rámeček_Kraby</v>
      </c>
      <c r="D21" t="s">
        <v>1998</v>
      </c>
      <c r="E21" t="s">
        <v>2299</v>
      </c>
      <c r="F21" t="s">
        <v>2000</v>
      </c>
      <c r="G21" t="s">
        <v>2300</v>
      </c>
      <c r="I21" t="s">
        <v>2003</v>
      </c>
      <c r="J21" t="s">
        <v>2302</v>
      </c>
      <c r="K21" t="s">
        <v>2303</v>
      </c>
      <c r="S21" s="142"/>
      <c r="T21">
        <v>1</v>
      </c>
      <c r="U21" t="s">
        <v>989</v>
      </c>
      <c r="V21" t="s">
        <v>1981</v>
      </c>
      <c r="W21" t="s">
        <v>1982</v>
      </c>
      <c r="X21" s="142"/>
      <c r="AF21" s="142"/>
    </row>
    <row r="22" spans="1:32">
      <c r="A22" s="146" t="s">
        <v>216</v>
      </c>
      <c r="B22" s="146" t="s">
        <v>1911</v>
      </c>
      <c r="C22" s="146" t="str">
        <f t="shared" si="0"/>
        <v>_Široký ALU rámeček_Kraby</v>
      </c>
      <c r="D22" t="s">
        <v>2008</v>
      </c>
      <c r="E22" t="s">
        <v>2304</v>
      </c>
      <c r="F22" t="s">
        <v>2010</v>
      </c>
      <c r="G22" t="s">
        <v>2305</v>
      </c>
      <c r="H22" t="s">
        <v>2012</v>
      </c>
      <c r="I22" t="s">
        <v>2306</v>
      </c>
      <c r="S22" s="142"/>
      <c r="V22" t="s">
        <v>1988</v>
      </c>
      <c r="W22" t="s">
        <v>1989</v>
      </c>
      <c r="X22" s="142"/>
      <c r="AF22" s="142"/>
    </row>
    <row r="23" spans="1:32">
      <c r="A23" s="143" t="s">
        <v>215</v>
      </c>
      <c r="B23" s="143" t="s">
        <v>1912</v>
      </c>
      <c r="C23" s="143" t="str">
        <f t="shared" si="0"/>
        <v>_Úzký ALU rámeček_Spodní Kraby</v>
      </c>
      <c r="D23" t="s">
        <v>2019</v>
      </c>
      <c r="E23" t="s">
        <v>2021</v>
      </c>
      <c r="F23" t="s">
        <v>2024</v>
      </c>
      <c r="S23" s="142"/>
      <c r="V23" t="s">
        <v>1993</v>
      </c>
      <c r="W23" t="s">
        <v>1994</v>
      </c>
      <c r="X23" s="142"/>
      <c r="AF23" s="142"/>
    </row>
    <row r="24" spans="1:32">
      <c r="A24" s="143" t="s">
        <v>216</v>
      </c>
      <c r="B24" s="143" t="s">
        <v>1912</v>
      </c>
      <c r="C24" s="143" t="str">
        <f t="shared" si="0"/>
        <v>_Široký ALU rámeček_Spodní Kraby</v>
      </c>
      <c r="D24" t="s">
        <v>2033</v>
      </c>
      <c r="E24" t="s">
        <v>2027</v>
      </c>
      <c r="F24" t="s">
        <v>2029</v>
      </c>
      <c r="G24" t="s">
        <v>2031</v>
      </c>
      <c r="S24" s="142"/>
      <c r="V24" t="s">
        <v>1994</v>
      </c>
      <c r="W24" t="s">
        <v>1997</v>
      </c>
      <c r="X24" s="142"/>
      <c r="AF24" s="142"/>
    </row>
    <row r="25" spans="1:32">
      <c r="A25" s="146" t="s">
        <v>215</v>
      </c>
      <c r="B25" s="146" t="s">
        <v>1913</v>
      </c>
      <c r="C25" s="146" t="str">
        <f t="shared" si="0"/>
        <v>_Úzký ALU rámeček_Kiaro</v>
      </c>
      <c r="D25" t="s">
        <v>2019</v>
      </c>
      <c r="E25" t="s">
        <v>2021</v>
      </c>
      <c r="F25" t="s">
        <v>2024</v>
      </c>
      <c r="S25" s="142"/>
      <c r="V25" t="s">
        <v>2006</v>
      </c>
      <c r="W25" t="s">
        <v>2007</v>
      </c>
      <c r="X25" s="142"/>
      <c r="AF25" s="142"/>
    </row>
    <row r="26" spans="1:32">
      <c r="A26" s="146" t="s">
        <v>216</v>
      </c>
      <c r="B26" s="146" t="s">
        <v>1913</v>
      </c>
      <c r="C26" s="146" t="str">
        <f t="shared" si="0"/>
        <v>_Široký ALU rámeček_Kiaro</v>
      </c>
      <c r="D26" t="s">
        <v>2033</v>
      </c>
      <c r="E26" t="s">
        <v>2027</v>
      </c>
      <c r="F26" t="s">
        <v>2029</v>
      </c>
      <c r="G26" t="s">
        <v>2031</v>
      </c>
      <c r="S26" s="142"/>
      <c r="V26" t="s">
        <v>2014</v>
      </c>
      <c r="W26" t="s">
        <v>2015</v>
      </c>
      <c r="X26" s="142"/>
      <c r="AF26" s="142"/>
    </row>
    <row r="27" spans="1:32">
      <c r="A27" s="143" t="s">
        <v>215</v>
      </c>
      <c r="B27" s="143" t="s">
        <v>1914</v>
      </c>
      <c r="C27" s="143" t="str">
        <f t="shared" si="0"/>
        <v>_Úzký ALU rámeček_Link</v>
      </c>
      <c r="D27" t="s">
        <v>2019</v>
      </c>
      <c r="E27" t="s">
        <v>2021</v>
      </c>
      <c r="F27" t="s">
        <v>2024</v>
      </c>
      <c r="S27" s="142"/>
      <c r="V27" t="s">
        <v>2016</v>
      </c>
      <c r="W27" t="s">
        <v>1994</v>
      </c>
      <c r="X27" s="142"/>
      <c r="AF27" s="142"/>
    </row>
    <row r="28" spans="1:32">
      <c r="A28" s="143" t="s">
        <v>216</v>
      </c>
      <c r="B28" s="143" t="s">
        <v>1914</v>
      </c>
      <c r="C28" s="143" t="str">
        <f t="shared" si="0"/>
        <v>_Široký ALU rámeček_Link</v>
      </c>
      <c r="D28" t="s">
        <v>2033</v>
      </c>
      <c r="E28" t="s">
        <v>2027</v>
      </c>
      <c r="F28" t="s">
        <v>2029</v>
      </c>
      <c r="G28" t="s">
        <v>2031</v>
      </c>
      <c r="S28" s="142"/>
      <c r="W28" t="s">
        <v>2017</v>
      </c>
      <c r="X28" s="142"/>
      <c r="AF28" s="142"/>
    </row>
    <row r="29" spans="1:32">
      <c r="A29" s="146" t="s">
        <v>215</v>
      </c>
      <c r="B29" s="146" t="s">
        <v>1915</v>
      </c>
      <c r="C29" s="146" t="str">
        <f t="shared" si="0"/>
        <v>_Úzký ALU rámeček_Automatická vzpěra</v>
      </c>
      <c r="D29" t="s">
        <v>1998</v>
      </c>
      <c r="E29" t="s">
        <v>2299</v>
      </c>
      <c r="F29" t="s">
        <v>2000</v>
      </c>
      <c r="G29" t="s">
        <v>2300</v>
      </c>
      <c r="I29" t="s">
        <v>2003</v>
      </c>
      <c r="J29" t="s">
        <v>2302</v>
      </c>
      <c r="K29" t="s">
        <v>2303</v>
      </c>
      <c r="S29" s="142"/>
      <c r="W29" t="s">
        <v>2018</v>
      </c>
      <c r="X29" s="142"/>
      <c r="AF29" s="142"/>
    </row>
    <row r="30" spans="1:32">
      <c r="A30" s="146" t="s">
        <v>216</v>
      </c>
      <c r="B30" s="146" t="s">
        <v>1915</v>
      </c>
      <c r="C30" s="146" t="str">
        <f t="shared" si="0"/>
        <v>_Široký ALU rámeček_Automatická vzpěra</v>
      </c>
      <c r="D30" t="s">
        <v>2008</v>
      </c>
      <c r="E30" t="s">
        <v>2304</v>
      </c>
      <c r="F30" t="s">
        <v>2010</v>
      </c>
      <c r="G30" t="s">
        <v>2305</v>
      </c>
      <c r="H30" t="s">
        <v>2012</v>
      </c>
      <c r="I30" t="s">
        <v>2306</v>
      </c>
      <c r="S30" s="142"/>
      <c r="T30">
        <v>2</v>
      </c>
      <c r="U30" t="s">
        <v>989</v>
      </c>
      <c r="V30" t="s">
        <v>1981</v>
      </c>
      <c r="W30" t="s">
        <v>1982</v>
      </c>
      <c r="X30" s="142"/>
      <c r="AF30" s="142"/>
    </row>
    <row r="31" spans="1:32">
      <c r="A31" s="143" t="s">
        <v>215</v>
      </c>
      <c r="B31" s="143" t="s">
        <v>1916</v>
      </c>
      <c r="C31" s="143" t="str">
        <f t="shared" si="0"/>
        <v>_Úzký ALU rámeček_Polohovací vzpěra</v>
      </c>
      <c r="D31" t="s">
        <v>1998</v>
      </c>
      <c r="E31" t="s">
        <v>2299</v>
      </c>
      <c r="F31" t="s">
        <v>2000</v>
      </c>
      <c r="G31" t="s">
        <v>2300</v>
      </c>
      <c r="I31" t="s">
        <v>2003</v>
      </c>
      <c r="J31" t="s">
        <v>2302</v>
      </c>
      <c r="K31" t="s">
        <v>2303</v>
      </c>
      <c r="S31" s="142"/>
      <c r="V31" t="s">
        <v>1988</v>
      </c>
      <c r="W31" t="s">
        <v>1989</v>
      </c>
      <c r="X31" s="142"/>
      <c r="AF31" s="142"/>
    </row>
    <row r="32" spans="1:32">
      <c r="A32" s="143" t="s">
        <v>216</v>
      </c>
      <c r="B32" s="143" t="s">
        <v>1916</v>
      </c>
      <c r="C32" s="143" t="str">
        <f t="shared" si="0"/>
        <v>_Široký ALU rámeček_Polohovací vzpěra</v>
      </c>
      <c r="D32" t="s">
        <v>2008</v>
      </c>
      <c r="E32" t="s">
        <v>2304</v>
      </c>
      <c r="F32" t="s">
        <v>2010</v>
      </c>
      <c r="G32" t="s">
        <v>2305</v>
      </c>
      <c r="H32" t="s">
        <v>2012</v>
      </c>
      <c r="I32" t="s">
        <v>2306</v>
      </c>
      <c r="S32" s="142"/>
      <c r="V32" t="s">
        <v>1993</v>
      </c>
      <c r="W32" t="s">
        <v>1994</v>
      </c>
      <c r="X32" s="142"/>
      <c r="AF32" s="142"/>
    </row>
    <row r="33" spans="1:32">
      <c r="A33" s="146" t="s">
        <v>215</v>
      </c>
      <c r="B33" s="146" t="s">
        <v>1918</v>
      </c>
      <c r="C33" s="146" t="str">
        <f t="shared" si="0"/>
        <v>_Úzký ALU rámeček_LiftMini</v>
      </c>
      <c r="D33" t="s">
        <v>2019</v>
      </c>
      <c r="E33" t="s">
        <v>2021</v>
      </c>
      <c r="F33" t="s">
        <v>2024</v>
      </c>
      <c r="S33" s="142"/>
      <c r="V33" t="s">
        <v>1994</v>
      </c>
      <c r="W33" t="s">
        <v>1997</v>
      </c>
      <c r="X33" s="142"/>
      <c r="AF33" s="142"/>
    </row>
    <row r="34" spans="1:32">
      <c r="A34" s="146" t="s">
        <v>216</v>
      </c>
      <c r="B34" s="146" t="s">
        <v>1918</v>
      </c>
      <c r="C34" s="146" t="str">
        <f t="shared" si="0"/>
        <v>_Široký ALU rámeček_LiftMini</v>
      </c>
      <c r="D34" t="s">
        <v>2033</v>
      </c>
      <c r="E34" t="s">
        <v>2027</v>
      </c>
      <c r="F34" t="s">
        <v>2029</v>
      </c>
      <c r="G34" t="s">
        <v>2031</v>
      </c>
      <c r="S34" s="142"/>
      <c r="V34" t="s">
        <v>2006</v>
      </c>
      <c r="W34" t="s">
        <v>2007</v>
      </c>
      <c r="X34" s="142"/>
      <c r="AF34" s="142"/>
    </row>
    <row r="35" spans="1:32">
      <c r="V35" t="s">
        <v>2014</v>
      </c>
      <c r="W35" t="s">
        <v>2015</v>
      </c>
    </row>
    <row r="36" spans="1:32">
      <c r="A36" t="s">
        <v>2034</v>
      </c>
      <c r="V36" t="s">
        <v>2016</v>
      </c>
      <c r="W36" t="s">
        <v>1994</v>
      </c>
    </row>
    <row r="37" spans="1:32">
      <c r="A37" t="s">
        <v>2035</v>
      </c>
      <c r="W37" t="s">
        <v>2017</v>
      </c>
    </row>
    <row r="38" spans="1:32">
      <c r="W38" t="s">
        <v>2018</v>
      </c>
    </row>
    <row r="39" spans="1:32">
      <c r="T39">
        <v>1</v>
      </c>
      <c r="U39" t="s">
        <v>2036</v>
      </c>
      <c r="V39" t="s">
        <v>1981</v>
      </c>
      <c r="W39" t="s">
        <v>1982</v>
      </c>
    </row>
    <row r="40" spans="1:32">
      <c r="V40" t="s">
        <v>1988</v>
      </c>
      <c r="W40" t="s">
        <v>1989</v>
      </c>
    </row>
    <row r="41" spans="1:32">
      <c r="V41" t="s">
        <v>1993</v>
      </c>
      <c r="W41" t="s">
        <v>1994</v>
      </c>
    </row>
    <row r="42" spans="1:32">
      <c r="V42" t="s">
        <v>1994</v>
      </c>
      <c r="W42" t="s">
        <v>1997</v>
      </c>
    </row>
    <row r="43" spans="1:32">
      <c r="V43" t="s">
        <v>2006</v>
      </c>
      <c r="W43" t="s">
        <v>2007</v>
      </c>
    </row>
    <row r="44" spans="1:32">
      <c r="V44" t="s">
        <v>2014</v>
      </c>
      <c r="W44" t="s">
        <v>2015</v>
      </c>
    </row>
    <row r="45" spans="1:32">
      <c r="V45" t="s">
        <v>2016</v>
      </c>
      <c r="W45" t="s">
        <v>1994</v>
      </c>
    </row>
    <row r="46" spans="1:32">
      <c r="W46" t="s">
        <v>2017</v>
      </c>
    </row>
    <row r="47" spans="1:32">
      <c r="W47" t="s">
        <v>2018</v>
      </c>
    </row>
    <row r="48" spans="1:32">
      <c r="T48">
        <v>2</v>
      </c>
      <c r="U48" t="s">
        <v>2036</v>
      </c>
      <c r="V48" t="s">
        <v>1981</v>
      </c>
      <c r="W48" t="s">
        <v>1982</v>
      </c>
    </row>
    <row r="49" spans="1:32">
      <c r="V49" t="s">
        <v>1988</v>
      </c>
      <c r="W49" t="s">
        <v>1989</v>
      </c>
    </row>
    <row r="50" spans="1:32">
      <c r="V50" t="s">
        <v>1993</v>
      </c>
      <c r="W50" t="s">
        <v>1994</v>
      </c>
    </row>
    <row r="51" spans="1:32">
      <c r="V51" t="s">
        <v>1994</v>
      </c>
      <c r="W51" t="s">
        <v>1997</v>
      </c>
    </row>
    <row r="52" spans="1:32">
      <c r="V52" t="s">
        <v>2006</v>
      </c>
      <c r="W52" t="s">
        <v>2007</v>
      </c>
    </row>
    <row r="53" spans="1:32">
      <c r="V53" t="s">
        <v>2014</v>
      </c>
      <c r="W53" t="s">
        <v>2015</v>
      </c>
    </row>
    <row r="54" spans="1:32">
      <c r="V54" t="s">
        <v>2016</v>
      </c>
      <c r="W54" t="s">
        <v>1994</v>
      </c>
    </row>
    <row r="55" spans="1:32">
      <c r="W55" t="s">
        <v>2017</v>
      </c>
    </row>
    <row r="56" spans="1:32">
      <c r="W56" t="s">
        <v>2018</v>
      </c>
    </row>
    <row r="57" spans="1:32">
      <c r="A57" s="143" t="s">
        <v>802</v>
      </c>
      <c r="B57" s="143" t="s">
        <v>2048</v>
      </c>
      <c r="C57" s="146" t="s">
        <v>802</v>
      </c>
      <c r="D57" s="146" t="s">
        <v>2048</v>
      </c>
      <c r="E57" s="143" t="s">
        <v>802</v>
      </c>
      <c r="F57" s="143" t="s">
        <v>2048</v>
      </c>
      <c r="G57" s="146" t="s">
        <v>802</v>
      </c>
      <c r="H57" s="146" t="s">
        <v>2048</v>
      </c>
      <c r="I57" s="143" t="s">
        <v>802</v>
      </c>
      <c r="J57" s="143" t="s">
        <v>2048</v>
      </c>
      <c r="K57" s="146" t="s">
        <v>802</v>
      </c>
      <c r="L57" s="146" t="s">
        <v>2048</v>
      </c>
      <c r="M57" s="143" t="s">
        <v>802</v>
      </c>
      <c r="N57" s="143" t="s">
        <v>2048</v>
      </c>
      <c r="O57" s="146" t="s">
        <v>802</v>
      </c>
      <c r="P57" s="146" t="s">
        <v>2048</v>
      </c>
      <c r="Q57" s="143" t="s">
        <v>802</v>
      </c>
      <c r="R57" s="143" t="s">
        <v>2048</v>
      </c>
      <c r="S57" s="146" t="s">
        <v>802</v>
      </c>
      <c r="T57" s="146" t="s">
        <v>2048</v>
      </c>
      <c r="U57" s="143" t="s">
        <v>802</v>
      </c>
      <c r="V57" s="143" t="s">
        <v>2048</v>
      </c>
      <c r="W57" s="146" t="s">
        <v>802</v>
      </c>
      <c r="X57" s="146" t="s">
        <v>2048</v>
      </c>
      <c r="Y57" s="143" t="s">
        <v>802</v>
      </c>
      <c r="Z57" s="143" t="s">
        <v>2048</v>
      </c>
      <c r="AA57" s="146" t="s">
        <v>802</v>
      </c>
      <c r="AB57" s="146" t="s">
        <v>2048</v>
      </c>
      <c r="AC57" s="143" t="s">
        <v>802</v>
      </c>
      <c r="AD57" s="143" t="s">
        <v>2048</v>
      </c>
      <c r="AE57" s="146" t="s">
        <v>802</v>
      </c>
      <c r="AF57" s="146" t="s">
        <v>2048</v>
      </c>
    </row>
    <row r="58" spans="1:32">
      <c r="A58" s="143" t="s">
        <v>988</v>
      </c>
      <c r="B58" s="143" t="s">
        <v>988</v>
      </c>
      <c r="C58" s="146" t="s">
        <v>1893</v>
      </c>
      <c r="D58" s="146" t="s">
        <v>1893</v>
      </c>
      <c r="E58" s="143" t="s">
        <v>1897</v>
      </c>
      <c r="F58" s="143" t="s">
        <v>1897</v>
      </c>
      <c r="G58" s="146" t="s">
        <v>1900</v>
      </c>
      <c r="H58" s="146" t="s">
        <v>1900</v>
      </c>
      <c r="I58" s="143" t="s">
        <v>1907</v>
      </c>
      <c r="J58" s="143" t="s">
        <v>1907</v>
      </c>
      <c r="K58" s="146" t="s">
        <v>1905</v>
      </c>
      <c r="L58" s="146" t="s">
        <v>1905</v>
      </c>
      <c r="M58" s="143" t="s">
        <v>1902</v>
      </c>
      <c r="N58" s="143" t="s">
        <v>1902</v>
      </c>
      <c r="O58" s="146" t="s">
        <v>1908</v>
      </c>
      <c r="P58" s="146" t="s">
        <v>1908</v>
      </c>
      <c r="Q58" s="143" t="s">
        <v>1910</v>
      </c>
      <c r="R58" s="143" t="s">
        <v>1910</v>
      </c>
      <c r="S58" s="146" t="s">
        <v>1911</v>
      </c>
      <c r="T58" s="146" t="s">
        <v>1911</v>
      </c>
      <c r="U58" s="143" t="s">
        <v>1912</v>
      </c>
      <c r="V58" s="143" t="s">
        <v>1912</v>
      </c>
      <c r="W58" s="146" t="s">
        <v>1913</v>
      </c>
      <c r="X58" s="146" t="s">
        <v>1913</v>
      </c>
      <c r="Y58" s="143" t="s">
        <v>1914</v>
      </c>
      <c r="Z58" s="143" t="s">
        <v>1914</v>
      </c>
      <c r="AA58" s="146" t="s">
        <v>1915</v>
      </c>
      <c r="AB58" s="146" t="s">
        <v>1915</v>
      </c>
      <c r="AC58" s="143" t="s">
        <v>1916</v>
      </c>
      <c r="AD58" s="143" t="s">
        <v>1916</v>
      </c>
      <c r="AE58" s="146" t="s">
        <v>1918</v>
      </c>
      <c r="AF58" s="146" t="s">
        <v>1918</v>
      </c>
    </row>
    <row r="59" spans="1:32">
      <c r="A59" s="150" t="s">
        <v>1975</v>
      </c>
      <c r="B59" s="150" t="s">
        <v>1983</v>
      </c>
      <c r="C59" s="150" t="s">
        <v>1990</v>
      </c>
      <c r="D59" s="150" t="s">
        <v>1995</v>
      </c>
      <c r="E59" s="150" t="s">
        <v>1998</v>
      </c>
      <c r="F59" s="150" t="s">
        <v>2008</v>
      </c>
      <c r="G59" s="150" t="s">
        <v>1998</v>
      </c>
      <c r="H59" s="150" t="s">
        <v>2008</v>
      </c>
      <c r="I59" s="150" t="s">
        <v>1998</v>
      </c>
      <c r="J59" s="150" t="s">
        <v>2008</v>
      </c>
      <c r="K59" s="150" t="s">
        <v>2019</v>
      </c>
      <c r="L59" s="150" t="s">
        <v>2027</v>
      </c>
      <c r="M59" s="150" t="s">
        <v>2019</v>
      </c>
      <c r="N59" s="150" t="s">
        <v>2027</v>
      </c>
      <c r="O59" s="150" t="s">
        <v>1998</v>
      </c>
      <c r="P59" s="150" t="s">
        <v>2008</v>
      </c>
      <c r="Q59" t="s">
        <v>2019</v>
      </c>
      <c r="R59" t="s">
        <v>2033</v>
      </c>
      <c r="S59" t="s">
        <v>1998</v>
      </c>
      <c r="T59" t="s">
        <v>2008</v>
      </c>
      <c r="U59" t="s">
        <v>2019</v>
      </c>
      <c r="V59" t="s">
        <v>2033</v>
      </c>
      <c r="W59" t="s">
        <v>2019</v>
      </c>
      <c r="X59" t="s">
        <v>2033</v>
      </c>
      <c r="Y59" t="s">
        <v>2019</v>
      </c>
      <c r="Z59" t="s">
        <v>2033</v>
      </c>
      <c r="AA59" t="s">
        <v>1998</v>
      </c>
      <c r="AB59" t="s">
        <v>2008</v>
      </c>
      <c r="AC59" t="s">
        <v>1998</v>
      </c>
      <c r="AD59" t="s">
        <v>2008</v>
      </c>
      <c r="AE59" t="s">
        <v>2019</v>
      </c>
      <c r="AF59" t="s">
        <v>2033</v>
      </c>
    </row>
    <row r="60" spans="1:32">
      <c r="A60" t="s">
        <v>1976</v>
      </c>
      <c r="B60" t="s">
        <v>1976</v>
      </c>
      <c r="C60" t="s">
        <v>1976</v>
      </c>
      <c r="D60" t="s">
        <v>1976</v>
      </c>
      <c r="E60" s="150" t="s">
        <v>2299</v>
      </c>
      <c r="F60" s="150" t="s">
        <v>2304</v>
      </c>
      <c r="G60" s="150" t="s">
        <v>2299</v>
      </c>
      <c r="H60" s="150" t="s">
        <v>2304</v>
      </c>
      <c r="I60" s="150" t="s">
        <v>2299</v>
      </c>
      <c r="J60" s="150" t="s">
        <v>2304</v>
      </c>
      <c r="K60" s="150" t="s">
        <v>2020</v>
      </c>
      <c r="L60" s="150" t="s">
        <v>2028</v>
      </c>
      <c r="M60" s="150" t="s">
        <v>2020</v>
      </c>
      <c r="N60" s="150" t="s">
        <v>2028</v>
      </c>
      <c r="O60" s="150" t="s">
        <v>1999</v>
      </c>
      <c r="P60" s="150" t="s">
        <v>2009</v>
      </c>
      <c r="Q60" t="s">
        <v>2021</v>
      </c>
      <c r="R60" t="s">
        <v>2027</v>
      </c>
      <c r="S60" t="s">
        <v>1999</v>
      </c>
      <c r="T60" t="s">
        <v>2009</v>
      </c>
      <c r="U60" t="s">
        <v>2021</v>
      </c>
      <c r="V60" t="s">
        <v>2027</v>
      </c>
      <c r="W60" t="s">
        <v>2021</v>
      </c>
      <c r="X60" t="s">
        <v>2027</v>
      </c>
      <c r="Y60" t="s">
        <v>2021</v>
      </c>
      <c r="Z60" t="s">
        <v>2027</v>
      </c>
      <c r="AA60" t="s">
        <v>1999</v>
      </c>
      <c r="AB60" t="s">
        <v>2009</v>
      </c>
      <c r="AC60" t="s">
        <v>1999</v>
      </c>
      <c r="AD60" t="s">
        <v>2009</v>
      </c>
      <c r="AE60" t="s">
        <v>2021</v>
      </c>
      <c r="AF60" t="s">
        <v>2027</v>
      </c>
    </row>
    <row r="61" spans="1:32">
      <c r="A61" t="s">
        <v>1977</v>
      </c>
      <c r="B61" t="s">
        <v>1984</v>
      </c>
      <c r="C61" t="s">
        <v>1991</v>
      </c>
      <c r="D61" t="s">
        <v>1996</v>
      </c>
      <c r="E61" s="150" t="s">
        <v>2000</v>
      </c>
      <c r="F61" s="150" t="s">
        <v>2010</v>
      </c>
      <c r="G61" s="150" t="s">
        <v>2000</v>
      </c>
      <c r="H61" s="150" t="s">
        <v>2010</v>
      </c>
      <c r="I61" s="150" t="s">
        <v>2000</v>
      </c>
      <c r="J61" s="150" t="s">
        <v>2010</v>
      </c>
      <c r="K61" s="150" t="s">
        <v>2021</v>
      </c>
      <c r="L61" s="150" t="s">
        <v>2029</v>
      </c>
      <c r="M61" s="150" t="s">
        <v>2021</v>
      </c>
      <c r="N61" s="150" t="s">
        <v>2029</v>
      </c>
      <c r="O61" s="150" t="s">
        <v>2000</v>
      </c>
      <c r="P61" s="150" t="s">
        <v>2010</v>
      </c>
      <c r="Q61" t="s">
        <v>2024</v>
      </c>
      <c r="R61" t="s">
        <v>2029</v>
      </c>
      <c r="S61" t="s">
        <v>2000</v>
      </c>
      <c r="T61" t="s">
        <v>2010</v>
      </c>
      <c r="U61" t="s">
        <v>2024</v>
      </c>
      <c r="V61" t="s">
        <v>2029</v>
      </c>
      <c r="W61" t="s">
        <v>2024</v>
      </c>
      <c r="X61" t="s">
        <v>2029</v>
      </c>
      <c r="Y61" t="s">
        <v>2024</v>
      </c>
      <c r="Z61" t="s">
        <v>2029</v>
      </c>
      <c r="AA61" t="s">
        <v>2000</v>
      </c>
      <c r="AB61" t="s">
        <v>2010</v>
      </c>
      <c r="AC61" t="s">
        <v>2000</v>
      </c>
      <c r="AD61" t="s">
        <v>2010</v>
      </c>
      <c r="AE61" t="s">
        <v>2024</v>
      </c>
      <c r="AF61" t="s">
        <v>2029</v>
      </c>
    </row>
    <row r="62" spans="1:32">
      <c r="A62" t="s">
        <v>1978</v>
      </c>
      <c r="B62" t="s">
        <v>1985</v>
      </c>
      <c r="C62" t="s">
        <v>1992</v>
      </c>
      <c r="D62" t="s">
        <v>1987</v>
      </c>
      <c r="E62" s="150" t="s">
        <v>2300</v>
      </c>
      <c r="F62" s="150" t="s">
        <v>2305</v>
      </c>
      <c r="G62" s="150" t="s">
        <v>2300</v>
      </c>
      <c r="H62" s="150" t="s">
        <v>2305</v>
      </c>
      <c r="I62" s="150" t="s">
        <v>2300</v>
      </c>
      <c r="J62" s="150" t="s">
        <v>2305</v>
      </c>
      <c r="K62" s="150" t="s">
        <v>2022</v>
      </c>
      <c r="L62" s="150" t="s">
        <v>2030</v>
      </c>
      <c r="M62" s="150" t="s">
        <v>2022</v>
      </c>
      <c r="N62" s="150" t="s">
        <v>2030</v>
      </c>
      <c r="O62" s="150" t="s">
        <v>2001</v>
      </c>
      <c r="P62" s="150" t="s">
        <v>2011</v>
      </c>
      <c r="R62" t="s">
        <v>2031</v>
      </c>
      <c r="S62" t="s">
        <v>2001</v>
      </c>
      <c r="T62" t="s">
        <v>2011</v>
      </c>
      <c r="V62" t="s">
        <v>2031</v>
      </c>
      <c r="X62" t="s">
        <v>2031</v>
      </c>
      <c r="Z62" t="s">
        <v>2031</v>
      </c>
      <c r="AA62" t="s">
        <v>2001</v>
      </c>
      <c r="AB62" t="s">
        <v>2011</v>
      </c>
      <c r="AC62" t="s">
        <v>2001</v>
      </c>
      <c r="AD62" t="s">
        <v>2011</v>
      </c>
      <c r="AF62" t="s">
        <v>2031</v>
      </c>
    </row>
    <row r="63" spans="1:32">
      <c r="A63" t="s">
        <v>1979</v>
      </c>
      <c r="B63" t="s">
        <v>1986</v>
      </c>
      <c r="D63" t="s">
        <v>1992</v>
      </c>
      <c r="E63" s="150" t="s">
        <v>2301</v>
      </c>
      <c r="F63" s="150" t="s">
        <v>2012</v>
      </c>
      <c r="G63" s="150" t="s">
        <v>2301</v>
      </c>
      <c r="H63" s="150" t="s">
        <v>2012</v>
      </c>
      <c r="I63" s="150" t="s">
        <v>2301</v>
      </c>
      <c r="J63" s="150" t="s">
        <v>2012</v>
      </c>
      <c r="K63" s="150" t="s">
        <v>2023</v>
      </c>
      <c r="L63" s="150" t="s">
        <v>2031</v>
      </c>
      <c r="M63" s="150" t="s">
        <v>2023</v>
      </c>
      <c r="N63" s="150" t="s">
        <v>2031</v>
      </c>
      <c r="O63" s="150" t="s">
        <v>2002</v>
      </c>
      <c r="P63" s="150" t="s">
        <v>2012</v>
      </c>
      <c r="S63" t="s">
        <v>2002</v>
      </c>
      <c r="T63" t="s">
        <v>2012</v>
      </c>
      <c r="AA63" t="s">
        <v>2002</v>
      </c>
      <c r="AB63" t="s">
        <v>2012</v>
      </c>
      <c r="AC63" t="s">
        <v>2002</v>
      </c>
      <c r="AD63" t="s">
        <v>2012</v>
      </c>
    </row>
    <row r="64" spans="1:32">
      <c r="A64" t="s">
        <v>1980</v>
      </c>
      <c r="B64" t="s">
        <v>1987</v>
      </c>
      <c r="E64" s="150" t="s">
        <v>2003</v>
      </c>
      <c r="F64" s="150" t="s">
        <v>2306</v>
      </c>
      <c r="G64" s="150" t="s">
        <v>2003</v>
      </c>
      <c r="H64" s="150" t="s">
        <v>2306</v>
      </c>
      <c r="I64" s="150" t="s">
        <v>2003</v>
      </c>
      <c r="J64" s="150" t="s">
        <v>2306</v>
      </c>
      <c r="K64" s="150" t="s">
        <v>2024</v>
      </c>
      <c r="L64" s="150" t="s">
        <v>2032</v>
      </c>
      <c r="M64" s="150" t="s">
        <v>2024</v>
      </c>
      <c r="N64" s="150" t="s">
        <v>2032</v>
      </c>
      <c r="O64" s="150" t="s">
        <v>2003</v>
      </c>
      <c r="P64" s="150" t="s">
        <v>2013</v>
      </c>
      <c r="S64" t="s">
        <v>2003</v>
      </c>
      <c r="T64" t="s">
        <v>2013</v>
      </c>
      <c r="AA64" t="s">
        <v>2003</v>
      </c>
      <c r="AB64" t="s">
        <v>2013</v>
      </c>
      <c r="AC64" t="s">
        <v>2003</v>
      </c>
      <c r="AD64" t="s">
        <v>2013</v>
      </c>
    </row>
    <row r="65" spans="1:29">
      <c r="E65" s="150" t="s">
        <v>2302</v>
      </c>
      <c r="G65" s="150" t="s">
        <v>2302</v>
      </c>
      <c r="I65" s="150" t="s">
        <v>2302</v>
      </c>
      <c r="K65" s="150" t="s">
        <v>2025</v>
      </c>
      <c r="M65" s="150" t="s">
        <v>2025</v>
      </c>
      <c r="O65" s="150" t="s">
        <v>2004</v>
      </c>
      <c r="S65" t="s">
        <v>2004</v>
      </c>
      <c r="AA65" t="s">
        <v>2004</v>
      </c>
      <c r="AC65" t="s">
        <v>2004</v>
      </c>
    </row>
    <row r="66" spans="1:29">
      <c r="E66" s="150" t="s">
        <v>2303</v>
      </c>
      <c r="G66" s="150" t="s">
        <v>2303</v>
      </c>
      <c r="I66" s="150" t="s">
        <v>2303</v>
      </c>
      <c r="K66" s="150" t="s">
        <v>2026</v>
      </c>
      <c r="M66" s="150" t="s">
        <v>2026</v>
      </c>
      <c r="O66" s="150" t="s">
        <v>2005</v>
      </c>
      <c r="S66" t="s">
        <v>2005</v>
      </c>
      <c r="AA66" t="s">
        <v>2005</v>
      </c>
      <c r="AC66" t="s">
        <v>2005</v>
      </c>
    </row>
    <row r="74" spans="1:29">
      <c r="A74" s="404" t="str">
        <f>'Translate&amp;Prices&amp;Logo'!$B$13</f>
        <v>BRW gold - maximum profile length 2500 mm</v>
      </c>
      <c r="B74" s="405" t="str">
        <f>'Translate&amp;Prices&amp;Logo'!$B$31</f>
        <v>Vivaro gold - maximum profile length 2150 mm</v>
      </c>
      <c r="C74" s="404" t="str">
        <f>'Translate&amp;Prices&amp;Logo'!$B$6</f>
        <v>BRW (elox.) - maximum profile length 2500 mm</v>
      </c>
      <c r="D74" s="404" t="str">
        <f>'Translate&amp;Prices&amp;Logo'!$B$43</f>
        <v>Vivaro (elox.) - maximum profile length 2500 mm</v>
      </c>
      <c r="E74" s="404" t="str">
        <f>'Translate&amp;Prices&amp;Logo'!$B$22</f>
        <v>Modena (elox.) - maximum profile length 2500 mm</v>
      </c>
      <c r="F74" s="404" t="str">
        <f>'Translate&amp;Prices&amp;Logo'!$B$12</f>
        <v>BRW black matt - maximum profile length 2500 mm</v>
      </c>
      <c r="G74" s="404" t="str">
        <f>'Translate&amp;Prices&amp;Logo'!$B$44</f>
        <v>Vivaro black matt - maximum profile length 2500 mm</v>
      </c>
      <c r="H74" s="404" t="str">
        <f>'Translate&amp;Prices&amp;Logo'!$B$23</f>
        <v>Modena black matt - maximum profile length 2500 mm</v>
      </c>
      <c r="I74" s="404" t="str">
        <f>'Translate&amp;Prices&amp;Logo'!$B$8</f>
        <v>BRW white matt RAL 9003 - maximum profile length 2500 mm</v>
      </c>
      <c r="J74" s="404" t="str">
        <f>'Translate&amp;Prices&amp;Logo'!$B$47</f>
        <v>Vivaro white matt RAL 9003 - maximum profile length 2500 mm</v>
      </c>
      <c r="K74" t="str">
        <f>'Translate&amp;Prices&amp;Logo'!$B$9</f>
        <v>BRW white gloss RAL 9003 - maximum profile length 2500 mm</v>
      </c>
      <c r="L74" t="str">
        <f>'Translate&amp;Prices&amp;Logo'!$B$48</f>
        <v>Vivaro white gloss RAL 9003 - maximum profile length 2500 mm</v>
      </c>
    </row>
    <row r="75" spans="1:29">
      <c r="A75" s="404" t="str">
        <f>'Translate&amp;Prices&amp;Logo'!B164</f>
        <v>mesh aluminum gold - field 10x6x1 mm</v>
      </c>
      <c r="B75" s="404" t="str">
        <f>'Translate&amp;Prices&amp;Logo'!B164</f>
        <v>mesh aluminum gold - field 10x6x1 mm</v>
      </c>
      <c r="C75" s="404" t="str">
        <f>'Translate&amp;Prices&amp;Logo'!B164</f>
        <v>mesh aluminum gold - field 10x6x1 mm</v>
      </c>
      <c r="D75" s="404" t="str">
        <f>'Translate&amp;Prices&amp;Logo'!B164</f>
        <v>mesh aluminum gold - field 10x6x1 mm</v>
      </c>
      <c r="E75" s="404" t="str">
        <f>'Translate&amp;Prices&amp;Logo'!B165</f>
        <v>mesh steel black matt - field 8x4x1 mm</v>
      </c>
      <c r="F75" s="404" t="str">
        <f>'Translate&amp;Prices&amp;Logo'!B164</f>
        <v>mesh aluminum gold - field 10x6x1 mm</v>
      </c>
      <c r="G75" s="404" t="str">
        <f>'Translate&amp;Prices&amp;Logo'!B164</f>
        <v>mesh aluminum gold - field 10x6x1 mm</v>
      </c>
      <c r="H75" s="404" t="str">
        <f>'Translate&amp;Prices&amp;Logo'!B165</f>
        <v>mesh steel black matt - field 8x4x1 mm</v>
      </c>
      <c r="I75" s="404" t="str">
        <f>'Translate&amp;Prices&amp;Logo'!B166</f>
        <v>mesh steel white - field 8x4x1 mm</v>
      </c>
      <c r="J75" s="404" t="str">
        <f>'Translate&amp;Prices&amp;Logo'!B166</f>
        <v>mesh steel white - field 8x4x1 mm</v>
      </c>
      <c r="K75" t="str">
        <f>'Translate&amp;Prices&amp;Logo'!B166</f>
        <v>mesh steel white - field 8x4x1 mm</v>
      </c>
      <c r="L75" t="str">
        <f>'Translate&amp;Prices&amp;Logo'!B166</f>
        <v>mesh steel white - field 8x4x1 mm</v>
      </c>
    </row>
    <row r="76" spans="1:29">
      <c r="A76" s="404" t="str">
        <f>'Translate&amp;Prices&amp;Logo'!B167</f>
        <v>mesh anodized - field 10x6x1 mm</v>
      </c>
      <c r="B76" s="404" t="str">
        <f>'Translate&amp;Prices&amp;Logo'!B167</f>
        <v>mesh anodized - field 10x6x1 mm</v>
      </c>
      <c r="C76" s="404" t="str">
        <f>'Translate&amp;Prices&amp;Logo'!B167</f>
        <v>mesh anodized - field 10x6x1 mm</v>
      </c>
      <c r="D76" s="404" t="str">
        <f>'Translate&amp;Prices&amp;Logo'!B167</f>
        <v>mesh anodized - field 10x6x1 mm</v>
      </c>
      <c r="F76" s="404" t="str">
        <f>'Translate&amp;Prices&amp;Logo'!B167</f>
        <v>mesh anodized - field 10x6x1 mm</v>
      </c>
      <c r="G76" s="404" t="str">
        <f>'Translate&amp;Prices&amp;Logo'!B167</f>
        <v>mesh anodized - field 10x6x1 mm</v>
      </c>
    </row>
    <row r="77" spans="1:29">
      <c r="C77" s="404" t="str">
        <f>'Translate&amp;Prices&amp;Logo'!B165</f>
        <v>mesh steel black matt - field 8x4x1 mm</v>
      </c>
      <c r="D77" s="404" t="str">
        <f>'Translate&amp;Prices&amp;Logo'!B165</f>
        <v>mesh steel black matt - field 8x4x1 mm</v>
      </c>
      <c r="F77" s="404" t="str">
        <f>'Translate&amp;Prices&amp;Logo'!B165</f>
        <v>mesh steel black matt - field 8x4x1 mm</v>
      </c>
      <c r="G77" s="404" t="str">
        <f>'Translate&amp;Prices&amp;Logo'!B165</f>
        <v>mesh steel black matt - field 8x4x1 mm</v>
      </c>
    </row>
    <row r="80" spans="1:29">
      <c r="A80" t="s">
        <v>3270</v>
      </c>
      <c r="H80" s="404"/>
    </row>
    <row r="81" spans="1:8">
      <c r="A81" s="404" t="str">
        <f>'Translate&amp;Prices&amp;Logo'!$B$13</f>
        <v>BRW gold - maximum profile length 2500 mm</v>
      </c>
      <c r="B81" t="s">
        <v>4820</v>
      </c>
      <c r="H81" s="405"/>
    </row>
    <row r="82" spans="1:8">
      <c r="A82" s="404" t="str">
        <f>'Translate&amp;Prices&amp;Logo'!$B$6</f>
        <v>BRW (elox.) - maximum profile length 2500 mm</v>
      </c>
      <c r="B82" t="s">
        <v>4821</v>
      </c>
      <c r="H82" s="404"/>
    </row>
    <row r="83" spans="1:8">
      <c r="A83" s="404" t="str">
        <f>'Translate&amp;Prices&amp;Logo'!$B$12</f>
        <v>BRW black matt - maximum profile length 2500 mm</v>
      </c>
      <c r="B83" t="s">
        <v>4822</v>
      </c>
      <c r="H83" s="404"/>
    </row>
    <row r="84" spans="1:8">
      <c r="A84" t="str">
        <f>'Translate&amp;Prices&amp;Logo'!$B$9</f>
        <v>BRW white gloss RAL 9003 - maximum profile length 2500 mm</v>
      </c>
      <c r="B84" t="s">
        <v>4823</v>
      </c>
      <c r="H84" s="404"/>
    </row>
    <row r="85" spans="1:8">
      <c r="A85" s="404" t="str">
        <f>'Translate&amp;Prices&amp;Logo'!$B$8</f>
        <v>BRW white matt RAL 9003 - maximum profile length 2500 mm</v>
      </c>
      <c r="B85" t="s">
        <v>4824</v>
      </c>
      <c r="H85" s="404"/>
    </row>
    <row r="86" spans="1:8">
      <c r="A86" s="404" t="str">
        <f>'Translate&amp;Prices&amp;Logo'!$B$22</f>
        <v>Modena (elox.) - maximum profile length 2500 mm</v>
      </c>
      <c r="B86" t="s">
        <v>4825</v>
      </c>
      <c r="H86" s="404"/>
    </row>
    <row r="87" spans="1:8">
      <c r="A87" s="404" t="str">
        <f>'Translate&amp;Prices&amp;Logo'!$B$23</f>
        <v>Modena black matt - maximum profile length 2500 mm</v>
      </c>
      <c r="B87" t="s">
        <v>4826</v>
      </c>
      <c r="H87" s="404"/>
    </row>
    <row r="88" spans="1:8">
      <c r="A88" s="405" t="str">
        <f>'Translate&amp;Prices&amp;Logo'!$B$31</f>
        <v>Vivaro gold - maximum profile length 2150 mm</v>
      </c>
      <c r="B88" t="s">
        <v>4827</v>
      </c>
      <c r="H88" s="404"/>
    </row>
    <row r="89" spans="1:8">
      <c r="A89" s="404" t="str">
        <f>'Translate&amp;Prices&amp;Logo'!$B$43</f>
        <v>Vivaro (elox.) - maximum profile length 2500 mm</v>
      </c>
      <c r="B89" t="s">
        <v>4828</v>
      </c>
      <c r="H89" s="404"/>
    </row>
    <row r="90" spans="1:8">
      <c r="A90" s="404" t="str">
        <f>'Translate&amp;Prices&amp;Logo'!$B$44</f>
        <v>Vivaro black matt - maximum profile length 2500 mm</v>
      </c>
      <c r="B90" t="s">
        <v>4829</v>
      </c>
    </row>
    <row r="91" spans="1:8">
      <c r="A91" s="404" t="str">
        <f>'Translate&amp;Prices&amp;Logo'!$B$47</f>
        <v>Vivaro white matt RAL 9003 - maximum profile length 2500 mm</v>
      </c>
      <c r="B91" t="s">
        <v>4830</v>
      </c>
    </row>
    <row r="92" spans="1:8">
      <c r="A92" t="str">
        <f>'Translate&amp;Prices&amp;Logo'!$B$48</f>
        <v>Vivaro white gloss RAL 9003 - maximum profile length 2500 mm</v>
      </c>
      <c r="B92" t="s">
        <v>4831</v>
      </c>
    </row>
    <row r="94" spans="1:8">
      <c r="A94" t="s">
        <v>1922</v>
      </c>
      <c r="B94" t="s">
        <v>1926</v>
      </c>
      <c r="C94" t="s">
        <v>1921</v>
      </c>
      <c r="D94" t="s">
        <v>1927</v>
      </c>
      <c r="E94" t="s">
        <v>1866</v>
      </c>
      <c r="F94" t="s">
        <v>1928</v>
      </c>
    </row>
    <row r="95" spans="1:8">
      <c r="A95" t="s">
        <v>1932</v>
      </c>
      <c r="B95" t="s">
        <v>1933</v>
      </c>
      <c r="C95" t="s">
        <v>1934</v>
      </c>
      <c r="D95" t="s">
        <v>1935</v>
      </c>
      <c r="E95" t="s">
        <v>1936</v>
      </c>
      <c r="F95" t="s">
        <v>1937</v>
      </c>
    </row>
    <row r="96" spans="1:8">
      <c r="A96" t="str">
        <f>'Translate&amp;Prices&amp;Logo'!$B$99</f>
        <v>Transparent</v>
      </c>
      <c r="B96" t="str">
        <f>'Translate&amp;Prices&amp;Logo'!$B$115</f>
        <v>Mirror</v>
      </c>
      <c r="C96" t="str">
        <f>'Translate&amp;Prices&amp;Logo'!$B$99</f>
        <v>Transparent</v>
      </c>
      <c r="D96" t="str">
        <f>'Translate&amp;Prices&amp;Logo'!$B$627</f>
        <v>Invalid combination</v>
      </c>
      <c r="E96" t="str">
        <f>'Translate&amp;Prices&amp;Logo'!$B$115</f>
        <v>Mirror</v>
      </c>
      <c r="F96" t="str">
        <f>'Translate&amp;Prices&amp;Logo'!$B$115</f>
        <v>Mirror</v>
      </c>
    </row>
    <row r="97" spans="1:6">
      <c r="A97" t="str">
        <f>'Translate&amp;Prices&amp;Logo'!$B$104</f>
        <v>Satinato</v>
      </c>
      <c r="B97" t="str">
        <f>'Translate&amp;Prices&amp;Logo'!$B$116</f>
        <v>Mirror brown</v>
      </c>
      <c r="C97" t="str">
        <f>'Translate&amp;Prices&amp;Logo'!$B$161</f>
        <v>Optiwhite</v>
      </c>
      <c r="E97" t="str">
        <f>'Translate&amp;Prices&amp;Logo'!$B$116</f>
        <v>Mirror brown</v>
      </c>
      <c r="F97" t="str">
        <f>'Translate&amp;Prices&amp;Logo'!$B$116</f>
        <v>Mirror brown</v>
      </c>
    </row>
    <row r="98" spans="1:6">
      <c r="A98" t="str">
        <f>'Translate&amp;Prices&amp;Logo'!$B$106</f>
        <v>Satinato brown / Decormat Braz</v>
      </c>
      <c r="B98" t="str">
        <f>'Translate&amp;Prices&amp;Logo'!$B$117</f>
        <v>Mirror black</v>
      </c>
      <c r="C98" t="str">
        <f>'Translate&amp;Prices&amp;Logo'!$B$105</f>
        <v>MASTER SOFT</v>
      </c>
      <c r="E98" t="str">
        <f>'Translate&amp;Prices&amp;Logo'!$B$117</f>
        <v>Mirror black</v>
      </c>
      <c r="F98" t="str">
        <f>'Translate&amp;Prices&amp;Logo'!$B$117</f>
        <v>Mirror black</v>
      </c>
    </row>
    <row r="99" spans="1:6">
      <c r="A99" t="str">
        <f>'Translate&amp;Prices&amp;Logo'!$B$107</f>
        <v>Satinato graphite  / Decormat grafit</v>
      </c>
      <c r="B99" t="str">
        <f>'Translate&amp;Prices&amp;Logo'!$B$126</f>
        <v>Lacobel RAL 1013</v>
      </c>
      <c r="C99" t="str">
        <f>'Translate&amp;Prices&amp;Logo'!$B$112</f>
        <v>MASTER FLEX</v>
      </c>
      <c r="E99" t="str">
        <f>'Translate&amp;Prices&amp;Logo'!$B$126</f>
        <v>Lacobel RAL 1013</v>
      </c>
      <c r="F99" t="str">
        <f>'Translate&amp;Prices&amp;Logo'!$B$126</f>
        <v>Lacobel RAL 1013</v>
      </c>
    </row>
    <row r="100" spans="1:6">
      <c r="A100" t="str">
        <f>'Translate&amp;Prices&amp;Logo'!$B$105</f>
        <v>MASTER SOFT</v>
      </c>
      <c r="B100" t="str">
        <f>'Translate&amp;Prices&amp;Logo'!$B$127</f>
        <v>Lacobel RAL 1015</v>
      </c>
      <c r="C100" t="str">
        <f>'Translate&amp;Prices&amp;Logo'!$B$118</f>
        <v>VISIOSUN horizont</v>
      </c>
      <c r="E100" t="str">
        <f>'Translate&amp;Prices&amp;Logo'!$B$127</f>
        <v>Lacobel RAL 1015</v>
      </c>
      <c r="F100" t="str">
        <f>'Translate&amp;Prices&amp;Logo'!$B$127</f>
        <v>Lacobel RAL 1015</v>
      </c>
    </row>
    <row r="101" spans="1:6">
      <c r="A101" t="str">
        <f>'Translate&amp;Prices&amp;Logo'!$B$112</f>
        <v>MASTER FLEX</v>
      </c>
      <c r="B101" t="str">
        <f>'Translate&amp;Prices&amp;Logo'!$B$133</f>
        <v>Lacobel RAL 7035</v>
      </c>
      <c r="C101" t="str">
        <f>'Translate&amp;Prices&amp;Logo'!$B$129</f>
        <v>VISIOSUN vertical</v>
      </c>
      <c r="E101" t="str">
        <f>'Translate&amp;Prices&amp;Logo'!$B$133</f>
        <v>Lacobel RAL 7035</v>
      </c>
      <c r="F101" t="str">
        <f>'Translate&amp;Prices&amp;Logo'!$B$133</f>
        <v>Lacobel RAL 7035</v>
      </c>
    </row>
    <row r="102" spans="1:6">
      <c r="A102" t="str">
        <f>'Translate&amp;Prices&amp;Logo'!$B$120</f>
        <v>Master (Carre)</v>
      </c>
      <c r="B102" t="str">
        <f>'Translate&amp;Prices&amp;Logo'!$B$135</f>
        <v>Lacobel RAL 9003</v>
      </c>
      <c r="C102" t="str">
        <f>'Translate&amp;Prices&amp;Logo'!$B$130</f>
        <v>VISIOSUN sateen vertical</v>
      </c>
      <c r="E102" t="str">
        <f>'Translate&amp;Prices&amp;Logo'!$B$135</f>
        <v>Lacobel RAL 9003</v>
      </c>
      <c r="F102" t="str">
        <f>'Translate&amp;Prices&amp;Logo'!$B$135</f>
        <v>Lacobel RAL 9003</v>
      </c>
    </row>
    <row r="103" spans="1:6">
      <c r="A103" t="str">
        <f>'Translate&amp;Prices&amp;Logo'!$B$121</f>
        <v>Master  Ligne horizontal</v>
      </c>
      <c r="B103" t="str">
        <f>'Translate&amp;Prices&amp;Logo'!$B$136</f>
        <v>Lacobel RAL 9005</v>
      </c>
      <c r="C103" t="str">
        <f>'Translate&amp;Prices&amp;Logo'!$B$131</f>
        <v>VISIOSUN sateen horizont</v>
      </c>
      <c r="E103" t="str">
        <f>'Translate&amp;Prices&amp;Logo'!$B$136</f>
        <v>Lacobel RAL 9005</v>
      </c>
      <c r="F103" t="str">
        <f>'Translate&amp;Prices&amp;Logo'!$B$136</f>
        <v>Lacobel RAL 9005</v>
      </c>
    </row>
    <row r="104" spans="1:6">
      <c r="A104" t="str">
        <f>'Translate&amp;Prices&amp;Logo'!$B$125</f>
        <v>Master  Ligne vertical</v>
      </c>
      <c r="B104" t="str">
        <f>'Translate&amp;Prices&amp;Logo'!$B$137</f>
        <v>Lacobel RAL 9006</v>
      </c>
      <c r="C104" t="str">
        <f>'Translate&amp;Prices&amp;Logo'!$B$123</f>
        <v>FLUTES horizont</v>
      </c>
      <c r="E104" t="str">
        <f>'Translate&amp;Prices&amp;Logo'!$B$137</f>
        <v>Lacobel RAL 9006</v>
      </c>
      <c r="F104" t="str">
        <f>'Translate&amp;Prices&amp;Logo'!$B$137</f>
        <v>Lacobel RAL 9006</v>
      </c>
    </row>
    <row r="105" spans="1:6">
      <c r="A105" t="str">
        <f>'Translate&amp;Prices&amp;Logo'!$B$122</f>
        <v>Master Point</v>
      </c>
      <c r="B105" t="str">
        <f>'Translate&amp;Prices&amp;Logo'!$B$138</f>
        <v>Lacobel RAL 9007</v>
      </c>
      <c r="C105" t="str">
        <f>'Translate&amp;Prices&amp;Logo'!$B$128</f>
        <v>FLUTES vertical</v>
      </c>
      <c r="E105" t="str">
        <f>'Translate&amp;Prices&amp;Logo'!$B$138</f>
        <v>Lacobel RAL 9007</v>
      </c>
      <c r="F105" t="str">
        <f>'Translate&amp;Prices&amp;Logo'!$B$138</f>
        <v>Lacobel RAL 9007</v>
      </c>
    </row>
    <row r="106" spans="1:6">
      <c r="A106" t="str">
        <f>'Translate&amp;Prices&amp;Logo'!$B$108</f>
        <v>Masterscreen - maximum possible size 2160 x 1650 mm</v>
      </c>
      <c r="B106" t="str">
        <f>'Translate&amp;Prices&amp;Logo'!$B$139</f>
        <v>Lacobel RAL 9010</v>
      </c>
      <c r="C106" t="str">
        <f>'Translate&amp;Prices&amp;Logo'!$B$104</f>
        <v>Satinato</v>
      </c>
      <c r="E106" t="str">
        <f>'Translate&amp;Prices&amp;Logo'!$B$139</f>
        <v>Lacobel RAL 9010</v>
      </c>
      <c r="F106" t="str">
        <f>'Translate&amp;Prices&amp;Logo'!$B$139</f>
        <v>Lacobel RAL 9010</v>
      </c>
    </row>
    <row r="107" spans="1:6">
      <c r="A107" t="str">
        <f>'Translate&amp;Prices&amp;Logo'!$B$109</f>
        <v>Venus VG10</v>
      </c>
      <c r="B107" t="str">
        <f>'Translate&amp;Prices&amp;Logo'!$B$154</f>
        <v xml:space="preserve">Matelac RAL 9003 </v>
      </c>
      <c r="C107" t="str">
        <f>'Translate&amp;Prices&amp;Logo'!$B$106</f>
        <v>Satinato brown / Decormat Braz</v>
      </c>
      <c r="E107" t="str">
        <f>'Translate&amp;Prices&amp;Logo'!$B$154</f>
        <v xml:space="preserve">Matelac RAL 9003 </v>
      </c>
      <c r="F107" t="str">
        <f>'Translate&amp;Prices&amp;Logo'!$B$154</f>
        <v xml:space="preserve">Matelac RAL 9003 </v>
      </c>
    </row>
    <row r="108" spans="1:6">
      <c r="A108" t="str">
        <f>'Translate&amp;Prices&amp;Logo'!$B$110</f>
        <v>Stopsol bronze  - maximum possible size 2250 x 1605 mm</v>
      </c>
      <c r="B108" t="str">
        <f>'Translate&amp;Prices&amp;Logo'!$B$155</f>
        <v xml:space="preserve">Matelac RAL 9005 </v>
      </c>
      <c r="C108" t="str">
        <f>'Translate&amp;Prices&amp;Logo'!$B$107</f>
        <v>Satinato graphite  / Decormat grafit</v>
      </c>
      <c r="E108" t="str">
        <f>'Translate&amp;Prices&amp;Logo'!$B$155</f>
        <v xml:space="preserve">Matelac RAL 9005 </v>
      </c>
      <c r="F108" t="str">
        <f>'Translate&amp;Prices&amp;Logo'!$B$155</f>
        <v xml:space="preserve">Matelac RAL 9005 </v>
      </c>
    </row>
    <row r="109" spans="1:6">
      <c r="A109" t="str">
        <f>'Translate&amp;Prices&amp;Logo'!$B$113</f>
        <v>Antisol bronze</v>
      </c>
      <c r="B109" t="str">
        <f>'Translate&amp;Prices&amp;Logo'!$B$160</f>
        <v>Matelac mirror bronze</v>
      </c>
      <c r="C109" t="str">
        <f>'Translate&amp;Prices&amp;Logo'!$B$108</f>
        <v>Masterscreen - maximum possible size 2160 x 1650 mm</v>
      </c>
      <c r="E109" t="str">
        <f>'Translate&amp;Prices&amp;Logo'!$B$160</f>
        <v>Matelac mirror bronze</v>
      </c>
      <c r="F109" t="str">
        <f>'Translate&amp;Prices&amp;Logo'!$B$160</f>
        <v>Matelac mirror bronze</v>
      </c>
    </row>
    <row r="110" spans="1:6">
      <c r="A110" t="str">
        <f>'Translate&amp;Prices&amp;Logo'!$B$114</f>
        <v>Antisol graphite</v>
      </c>
      <c r="B110" t="str">
        <f>'Translate&amp;Prices&amp;Logo'!$B$162</f>
        <v>Matelac mirror graphite</v>
      </c>
      <c r="C110" t="str">
        <f>'Translate&amp;Prices&amp;Logo'!$B$109</f>
        <v>Venus VG10</v>
      </c>
      <c r="E110" t="str">
        <f>'Translate&amp;Prices&amp;Logo'!$B$162</f>
        <v>Matelac mirror graphite</v>
      </c>
      <c r="F110" t="str">
        <f>'Translate&amp;Prices&amp;Logo'!$B$162</f>
        <v>Matelac mirror graphite</v>
      </c>
    </row>
    <row r="111" spans="1:6">
      <c r="A111" t="str">
        <f>'Translate&amp;Prices&amp;Logo'!$B$115</f>
        <v>Mirror</v>
      </c>
      <c r="B111" t="str">
        <f>'Translate&amp;Prices&amp;Logo'!$B$163</f>
        <v>Matelac mirror silver.</v>
      </c>
      <c r="C111" t="str">
        <f>'Translate&amp;Prices&amp;Logo'!$B$110</f>
        <v>Stopsol bronze  - maximum possible size 2250 x 1605 mm</v>
      </c>
      <c r="E111" t="str">
        <f>'Translate&amp;Prices&amp;Logo'!$B$163</f>
        <v>Matelac mirror silver.</v>
      </c>
      <c r="F111" t="str">
        <f>'Translate&amp;Prices&amp;Logo'!$B$163</f>
        <v>Matelac mirror silver.</v>
      </c>
    </row>
    <row r="112" spans="1:6">
      <c r="A112" t="str">
        <f>'Translate&amp;Prices&amp;Logo'!$B$116</f>
        <v>Mirror brown</v>
      </c>
      <c r="C112" t="str">
        <f>'Translate&amp;Prices&amp;Logo'!$B$113</f>
        <v>Antisol bronze</v>
      </c>
    </row>
    <row r="113" spans="1:3">
      <c r="A113" t="str">
        <f>'Translate&amp;Prices&amp;Logo'!$B$117</f>
        <v>Mirror black</v>
      </c>
      <c r="C113" t="str">
        <f>'Translate&amp;Prices&amp;Logo'!$B$114</f>
        <v>Antisol graphite</v>
      </c>
    </row>
    <row r="114" spans="1:3">
      <c r="A114" t="str">
        <f>'Translate&amp;Prices&amp;Logo'!$B$118</f>
        <v>VISIOSUN horizont</v>
      </c>
      <c r="C114" t="str">
        <f>'Translate&amp;Prices&amp;Logo'!$B$119</f>
        <v>Krizet  - maximum possible size 2130 x 1650 mm</v>
      </c>
    </row>
    <row r="115" spans="1:3">
      <c r="A115" t="str">
        <f>'Translate&amp;Prices&amp;Logo'!$B$129</f>
        <v>VISIOSUN vertical</v>
      </c>
      <c r="C115" t="str">
        <f>'Translate&amp;Prices&amp;Logo'!$B$120</f>
        <v>Master (Carre)</v>
      </c>
    </row>
    <row r="116" spans="1:3">
      <c r="A116" t="str">
        <f>'Translate&amp;Prices&amp;Logo'!$B$131</f>
        <v>VISIOSUN sateen horizont</v>
      </c>
      <c r="C116" t="str">
        <f>'Translate&amp;Prices&amp;Logo'!$B$121</f>
        <v>Master  Ligne horizontal</v>
      </c>
    </row>
    <row r="117" spans="1:3">
      <c r="A117" t="str">
        <f>'Translate&amp;Prices&amp;Logo'!$B$130</f>
        <v>VISIOSUN sateen vertical</v>
      </c>
      <c r="C117" t="str">
        <f>'Translate&amp;Prices&amp;Logo'!$B$125</f>
        <v>Master  Ligne vertical</v>
      </c>
    </row>
    <row r="118" spans="1:3">
      <c r="A118" t="str">
        <f>'Translate&amp;Prices&amp;Logo'!$B$119</f>
        <v>Krizet  - maximum possible size 2130 x 1650 mm</v>
      </c>
      <c r="C118" t="str">
        <f>'Translate&amp;Prices&amp;Logo'!$B$122</f>
        <v>Master Point</v>
      </c>
    </row>
    <row r="119" spans="1:3">
      <c r="A119" t="str">
        <f>'Translate&amp;Prices&amp;Logo'!$B$128</f>
        <v>FLUTES vertical</v>
      </c>
      <c r="C119" t="str">
        <f>'Translate&amp;Prices&amp;Logo'!$B$140</f>
        <v>Moru brown vertical</v>
      </c>
    </row>
    <row r="120" spans="1:3">
      <c r="A120" t="str">
        <f>'Translate&amp;Prices&amp;Logo'!$B$123</f>
        <v>FLUTES horizont</v>
      </c>
      <c r="C120" t="str">
        <f>'Translate&amp;Prices&amp;Logo'!$B$141</f>
        <v xml:space="preserve">Moru graphite vertical </v>
      </c>
    </row>
    <row r="121" spans="1:3">
      <c r="A121" t="str">
        <f>'Translate&amp;Prices&amp;Logo'!$B$111</f>
        <v>Lacomatt</v>
      </c>
      <c r="C121" t="str">
        <f>'Translate&amp;Prices&amp;Logo'!$B$144</f>
        <v>Moru brown horizontal</v>
      </c>
    </row>
    <row r="122" spans="1:3">
      <c r="A122" t="str">
        <f>'Translate&amp;Prices&amp;Logo'!$B$126</f>
        <v>Lacobel RAL 1013</v>
      </c>
      <c r="C122" t="str">
        <f>'Translate&amp;Prices&amp;Logo'!$B$145</f>
        <v>Moru graphite horizontal</v>
      </c>
    </row>
    <row r="123" spans="1:3">
      <c r="A123" t="str">
        <f>'Translate&amp;Prices&amp;Logo'!$B$127</f>
        <v>Lacobel RAL 1015</v>
      </c>
    </row>
    <row r="124" spans="1:3">
      <c r="A124" t="str">
        <f>'Translate&amp;Prices&amp;Logo'!$B$133</f>
        <v>Lacobel RAL 7035</v>
      </c>
    </row>
    <row r="125" spans="1:3">
      <c r="A125" t="str">
        <f>'Translate&amp;Prices&amp;Logo'!$B$135</f>
        <v>Lacobel RAL 9003</v>
      </c>
    </row>
    <row r="126" spans="1:3">
      <c r="A126" t="str">
        <f>'Translate&amp;Prices&amp;Logo'!$B$136</f>
        <v>Lacobel RAL 9005</v>
      </c>
    </row>
    <row r="127" spans="1:3">
      <c r="A127" t="str">
        <f>'Translate&amp;Prices&amp;Logo'!$B$137</f>
        <v>Lacobel RAL 9006</v>
      </c>
    </row>
    <row r="128" spans="1:3">
      <c r="A128" t="str">
        <f>'Translate&amp;Prices&amp;Logo'!$B$138</f>
        <v>Lacobel RAL 9007</v>
      </c>
    </row>
    <row r="129" spans="1:1">
      <c r="A129" t="str">
        <f>'Translate&amp;Prices&amp;Logo'!$B$139</f>
        <v>Lacobel RAL 9010</v>
      </c>
    </row>
    <row r="130" spans="1:1">
      <c r="A130" t="str">
        <f>'Translate&amp;Prices&amp;Logo'!$B$154</f>
        <v xml:space="preserve">Matelac RAL 9003 </v>
      </c>
    </row>
    <row r="131" spans="1:1">
      <c r="A131" t="str">
        <f>'Translate&amp;Prices&amp;Logo'!$B$155</f>
        <v xml:space="preserve">Matelac RAL 9005 </v>
      </c>
    </row>
    <row r="132" spans="1:1">
      <c r="A132" t="str">
        <f>'Translate&amp;Prices&amp;Logo'!$B$160</f>
        <v>Matelac mirror bronze</v>
      </c>
    </row>
    <row r="133" spans="1:1">
      <c r="A133" t="str">
        <f>'Translate&amp;Prices&amp;Logo'!$B$162</f>
        <v>Matelac mirror graphite</v>
      </c>
    </row>
    <row r="134" spans="1:1">
      <c r="A134" t="str">
        <f>'Translate&amp;Prices&amp;Logo'!$B$163</f>
        <v>Matelac mirror silver.</v>
      </c>
    </row>
    <row r="135" spans="1:1">
      <c r="A135" t="str">
        <f>'Translate&amp;Prices&amp;Logo'!$B$161</f>
        <v>Optiwhite</v>
      </c>
    </row>
    <row r="136" spans="1:1">
      <c r="A136" t="str">
        <f>'Translate&amp;Prices&amp;Logo'!$B$140</f>
        <v>Moru brown vertical</v>
      </c>
    </row>
    <row r="137" spans="1:1">
      <c r="A137" t="str">
        <f>'Translate&amp;Prices&amp;Logo'!$B$141</f>
        <v xml:space="preserve">Moru graphite vertical </v>
      </c>
    </row>
    <row r="138" spans="1:1">
      <c r="A138" t="str">
        <f>'Translate&amp;Prices&amp;Logo'!$B$144</f>
        <v>Moru brown horizontal</v>
      </c>
    </row>
    <row r="139" spans="1:1">
      <c r="A139" t="str">
        <f>'Translate&amp;Prices&amp;Logo'!$B$145</f>
        <v>Moru graphite horizontal</v>
      </c>
    </row>
    <row r="204" spans="1:2">
      <c r="A204">
        <v>1</v>
      </c>
      <c r="B204" t="s">
        <v>3146</v>
      </c>
    </row>
    <row r="205" spans="1:2">
      <c r="A205">
        <v>2</v>
      </c>
      <c r="B205" t="s">
        <v>3147</v>
      </c>
    </row>
    <row r="206" spans="1:2">
      <c r="A206">
        <v>3</v>
      </c>
      <c r="B206" t="s">
        <v>3148</v>
      </c>
    </row>
    <row r="207" spans="1:2">
      <c r="A207">
        <v>4</v>
      </c>
      <c r="B207" t="s">
        <v>3149</v>
      </c>
    </row>
    <row r="208" spans="1:2">
      <c r="A208">
        <v>5</v>
      </c>
      <c r="B208" t="s">
        <v>3147</v>
      </c>
    </row>
    <row r="209" spans="1:2">
      <c r="A209">
        <v>6</v>
      </c>
      <c r="B209" t="s">
        <v>3147</v>
      </c>
    </row>
  </sheetData>
  <phoneticPr fontId="17" type="noConversion"/>
  <conditionalFormatting sqref="A94 A98:A103">
    <cfRule type="expression" dxfId="786" priority="3" stopIfTrue="1">
      <formula>AND(COUNTIF($Q$68:$Q$65536, A94)+COUNTIF($Q$2:$Q$2, A94)+COUNTIF($Q$4:$Q$4, A94)+COUNTIF($Q$6:$Q$54, A94)&gt;1,NOT(ISBLANK(A94)))</formula>
    </cfRule>
  </conditionalFormatting>
  <conditionalFormatting sqref="A96 A105:A110 A112:A113 A118:A139 C119:C122">
    <cfRule type="expression" dxfId="785" priority="21" stopIfTrue="1">
      <formula>AND(COUNTIF($Q$68:$Q$65536, A96)+COUNTIF($Q$2:$Q$2, A96)+COUNTIF($Q$4:$Q$4, A96)+COUNTIF($Q$6:$Q$54, A96)&gt;1,NOT(ISBLANK(A96)))</formula>
    </cfRule>
  </conditionalFormatting>
  <conditionalFormatting sqref="B94">
    <cfRule type="expression" dxfId="784" priority="2" stopIfTrue="1">
      <formula>AND(COUNTIF($R$2:$R$2, B94)+COUNTIF($R$63:$R$65536, B94)+COUNTIF($R$49:$R$61, B94)&gt;1,NOT(ISBLANK(B94)))</formula>
    </cfRule>
  </conditionalFormatting>
  <conditionalFormatting sqref="B96:B98">
    <cfRule type="duplicateValues" dxfId="783" priority="14"/>
  </conditionalFormatting>
  <conditionalFormatting sqref="B100">
    <cfRule type="duplicateValues" dxfId="782" priority="563"/>
  </conditionalFormatting>
  <conditionalFormatting sqref="B101">
    <cfRule type="duplicateValues" dxfId="781" priority="13"/>
  </conditionalFormatting>
  <conditionalFormatting sqref="B102:B109 B121:B125">
    <cfRule type="duplicateValues" dxfId="780" priority="20"/>
  </conditionalFormatting>
  <conditionalFormatting sqref="B110:B111 B129:B131 B126">
    <cfRule type="duplicateValues" dxfId="779" priority="15"/>
  </conditionalFormatting>
  <conditionalFormatting sqref="B113:B115">
    <cfRule type="duplicateValues" dxfId="778" priority="12"/>
  </conditionalFormatting>
  <conditionalFormatting sqref="C96">
    <cfRule type="duplicateValues" dxfId="777" priority="11"/>
  </conditionalFormatting>
  <conditionalFormatting sqref="C104 C98:C100">
    <cfRule type="duplicateValues" dxfId="776" priority="25"/>
  </conditionalFormatting>
  <conditionalFormatting sqref="C106:C111">
    <cfRule type="duplicateValues" dxfId="775" priority="10"/>
  </conditionalFormatting>
  <conditionalFormatting sqref="C112:C113">
    <cfRule type="duplicateValues" dxfId="774" priority="9"/>
  </conditionalFormatting>
  <conditionalFormatting sqref="C114:C118">
    <cfRule type="duplicateValues" dxfId="773" priority="570"/>
  </conditionalFormatting>
  <conditionalFormatting sqref="C123:C139">
    <cfRule type="duplicateValues" dxfId="772" priority="24"/>
  </conditionalFormatting>
  <conditionalFormatting sqref="D96">
    <cfRule type="duplicateValues" dxfId="771" priority="8"/>
  </conditionalFormatting>
  <conditionalFormatting sqref="E96:E98">
    <cfRule type="duplicateValues" dxfId="770" priority="7"/>
  </conditionalFormatting>
  <conditionalFormatting sqref="E99:E106 E118:E122">
    <cfRule type="duplicateValues" dxfId="769" priority="22"/>
  </conditionalFormatting>
  <conditionalFormatting sqref="E107:E108 E123:E124">
    <cfRule type="duplicateValues" dxfId="768" priority="16"/>
  </conditionalFormatting>
  <conditionalFormatting sqref="E109:E111">
    <cfRule type="duplicateValues" dxfId="767" priority="6"/>
  </conditionalFormatting>
  <conditionalFormatting sqref="F96:F98">
    <cfRule type="duplicateValues" dxfId="766" priority="5"/>
  </conditionalFormatting>
  <conditionalFormatting sqref="F109:F111">
    <cfRule type="duplicateValues" dxfId="765" priority="4"/>
  </conditionalFormatting>
  <conditionalFormatting sqref="F113:F122 F99:F106">
    <cfRule type="duplicateValues" dxfId="764" priority="23"/>
  </conditionalFormatting>
  <conditionalFormatting sqref="F123:F124 F107:F108">
    <cfRule type="duplicateValues" dxfId="763" priority="17"/>
  </conditionalFormatting>
  <conditionalFormatting sqref="BQ2:BR2">
    <cfRule type="duplicateValues" dxfId="762"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zoomScaleNormal="100" workbookViewId="0"/>
  </sheetViews>
  <sheetFormatPr defaultColWidth="0" defaultRowHeight="15" zeroHeight="1"/>
  <cols>
    <col min="1" max="1" width="3.42578125" style="293" customWidth="1"/>
    <col min="2" max="2" width="5.5703125" style="293" customWidth="1"/>
    <col min="3" max="3" width="5.5703125" style="264" customWidth="1"/>
    <col min="4" max="4" width="14.7109375" style="264" customWidth="1"/>
    <col min="5" max="5" width="5.42578125" style="264" customWidth="1"/>
    <col min="6" max="6" width="8.7109375" style="264" customWidth="1"/>
    <col min="7" max="7" width="5.5703125" style="264" customWidth="1"/>
    <col min="8" max="8" width="6" style="264" customWidth="1"/>
    <col min="9" max="13" width="6.28515625" style="264" customWidth="1"/>
    <col min="14" max="16" width="6.140625" style="264" customWidth="1"/>
    <col min="17" max="17" width="6.28515625" style="264" customWidth="1"/>
    <col min="18" max="25" width="5.5703125" style="264" customWidth="1"/>
    <col min="26" max="26" width="5.42578125" style="264" customWidth="1"/>
    <col min="27" max="27" width="3.5703125" style="264" customWidth="1"/>
    <col min="28" max="28" width="4.5703125" style="264" customWidth="1"/>
    <col min="29" max="29" width="3.42578125" style="264" customWidth="1"/>
    <col min="30" max="30" width="5.42578125" style="294" customWidth="1"/>
    <col min="31" max="31" width="5.42578125" style="293" customWidth="1"/>
    <col min="32" max="32" width="16" style="264" customWidth="1"/>
    <col min="33" max="33" width="5.42578125" style="264" customWidth="1"/>
    <col min="34" max="34" width="4.140625" style="264" customWidth="1"/>
    <col min="35" max="36" width="5.42578125" style="264" customWidth="1"/>
    <col min="37" max="37" width="3.42578125" style="264" customWidth="1"/>
    <col min="38" max="38" width="5.42578125" style="264" customWidth="1"/>
    <col min="39" max="39" width="3.42578125" style="264" customWidth="1"/>
    <col min="40" max="40" width="5.42578125" style="264" customWidth="1"/>
    <col min="41" max="41" width="2.5703125" style="264" customWidth="1"/>
    <col min="42" max="42" width="3.5703125" style="264" customWidth="1"/>
    <col min="43" max="43" width="5.42578125" style="264" customWidth="1"/>
    <col min="44" max="44" width="6.140625" style="264" customWidth="1"/>
    <col min="45" max="45" width="25.28515625" style="264" customWidth="1"/>
    <col min="46" max="46" width="14.140625" style="264" hidden="1" customWidth="1"/>
    <col min="47" max="48" width="14.140625" style="291" hidden="1" customWidth="1"/>
    <col min="49" max="55" width="14.140625" style="264" hidden="1" customWidth="1"/>
    <col min="56" max="16384" width="9.140625" style="264" hidden="1"/>
  </cols>
  <sheetData>
    <row r="1" spans="1:65" ht="8.85" customHeight="1">
      <c r="A1" s="256"/>
      <c r="B1" s="255"/>
      <c r="C1" s="210"/>
      <c r="D1" s="210"/>
      <c r="E1" s="210"/>
      <c r="F1" s="210"/>
      <c r="G1" s="210"/>
      <c r="H1" s="210"/>
      <c r="I1" s="210"/>
      <c r="J1" s="210"/>
      <c r="K1" s="210"/>
      <c r="L1" s="210"/>
      <c r="M1" s="210"/>
      <c r="N1" s="210"/>
      <c r="O1" s="210"/>
      <c r="P1" s="210"/>
      <c r="Q1" s="210"/>
      <c r="R1" s="210"/>
      <c r="S1" s="210"/>
      <c r="T1" s="210"/>
      <c r="U1" s="210"/>
      <c r="V1" s="74"/>
      <c r="W1" s="74"/>
      <c r="X1" s="74"/>
      <c r="Y1" s="74"/>
      <c r="Z1" s="74"/>
      <c r="AA1" s="74"/>
      <c r="AB1" s="74"/>
      <c r="AC1" s="74"/>
      <c r="AD1" s="211"/>
      <c r="AE1" s="212"/>
      <c r="AF1" s="74"/>
      <c r="AG1" s="74"/>
      <c r="AH1" s="74"/>
      <c r="AI1" s="74"/>
      <c r="AJ1" s="74"/>
      <c r="AK1" s="74"/>
      <c r="AL1" s="74"/>
      <c r="AM1" s="74"/>
      <c r="AN1" s="74"/>
      <c r="AO1" s="74"/>
      <c r="AP1" s="74"/>
      <c r="AQ1" s="74"/>
      <c r="AR1" s="74"/>
      <c r="AS1" s="74"/>
    </row>
    <row r="2" spans="1:65" ht="11.85" customHeight="1">
      <c r="A2" s="531" t="str">
        <f>'Translate&amp;Prices&amp;Logo'!$B$169&amp;" "&amp;" "&amp;1</f>
        <v>Frame  1</v>
      </c>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373"/>
      <c r="AL2" s="373"/>
      <c r="AM2" s="373"/>
      <c r="AN2" s="373"/>
      <c r="AO2" s="373"/>
      <c r="AP2" s="597" t="str">
        <f>'Translate&amp;Prices&amp;Logo'!$B$540</f>
        <v>Main page</v>
      </c>
      <c r="AQ2" s="598"/>
      <c r="AR2" s="598"/>
      <c r="AS2" s="598"/>
      <c r="AW2" s="264" t="e">
        <f>VLOOKUP(H8,'Translate&amp;Prices&amp;Logo'!B77:D82,3,0)</f>
        <v>#N/A</v>
      </c>
      <c r="AX2" s="292" t="e">
        <f>VLOOKUP(AW2,'Translate&amp;Prices&amp;Logo'!B6:D60,2,0)</f>
        <v>#N/A</v>
      </c>
      <c r="AY2" s="293" t="e">
        <f>((AR14/1000)*2)*AT8</f>
        <v>#N/A</v>
      </c>
      <c r="AZ2" s="294" t="e">
        <f>((AI30/1000)*2)*AX2</f>
        <v>#N/A</v>
      </c>
      <c r="BA2" s="294" t="e">
        <f>AY2+AZ2</f>
        <v>#N/A</v>
      </c>
      <c r="BB2" s="292"/>
      <c r="BC2" s="292"/>
      <c r="BD2" s="292"/>
      <c r="BE2" s="292"/>
      <c r="BF2" s="292"/>
      <c r="BG2" s="292"/>
      <c r="BH2" s="293"/>
      <c r="BI2" s="293"/>
      <c r="BJ2" s="293"/>
      <c r="BK2" s="293"/>
      <c r="BL2" s="293"/>
      <c r="BM2" s="293"/>
    </row>
    <row r="3" spans="1:65" ht="11.85" customHeight="1">
      <c r="A3" s="531"/>
      <c r="B3" s="531"/>
      <c r="C3" s="531"/>
      <c r="D3" s="531"/>
      <c r="E3" s="531"/>
      <c r="F3" s="531"/>
      <c r="G3" s="531"/>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1"/>
      <c r="AG3" s="531"/>
      <c r="AH3" s="531"/>
      <c r="AI3" s="531"/>
      <c r="AJ3" s="531"/>
      <c r="AK3" s="373"/>
      <c r="AL3" s="373"/>
      <c r="AM3" s="373"/>
      <c r="AN3" s="373"/>
      <c r="AO3" s="373"/>
      <c r="AP3" s="597"/>
      <c r="AQ3" s="598"/>
      <c r="AR3" s="598"/>
      <c r="AS3" s="598"/>
      <c r="AX3" s="292" t="e">
        <f>VLOOKUP(AW2,'Translate&amp;Prices&amp;Logo'!B:D,3,0)</f>
        <v>#N/A</v>
      </c>
      <c r="AY3" s="293" t="e">
        <f>AT9+AX3</f>
        <v>#N/A</v>
      </c>
      <c r="AZ3" s="294"/>
      <c r="BA3" s="293"/>
      <c r="BB3" s="292"/>
      <c r="BC3" s="292"/>
      <c r="BD3" s="596">
        <f>(AI30/1000)*H11</f>
        <v>0</v>
      </c>
      <c r="BE3" s="596"/>
      <c r="BF3" s="596"/>
      <c r="BG3" s="596"/>
      <c r="BH3" s="596"/>
      <c r="BI3" s="596">
        <f>(AR14/1000)*M11</f>
        <v>0</v>
      </c>
      <c r="BJ3" s="596"/>
      <c r="BK3" s="596"/>
      <c r="BL3" s="596"/>
      <c r="BM3" s="596"/>
    </row>
    <row r="4" spans="1:65" s="297" customFormat="1" ht="6.6" customHeight="1">
      <c r="A4" s="251"/>
      <c r="B4" s="251"/>
      <c r="C4" s="252"/>
      <c r="D4" s="252"/>
      <c r="E4" s="252"/>
      <c r="F4" s="252"/>
      <c r="G4" s="252"/>
      <c r="H4" s="252"/>
      <c r="I4" s="252"/>
      <c r="J4" s="74"/>
      <c r="K4" s="74"/>
      <c r="L4" s="74"/>
      <c r="M4" s="74"/>
      <c r="N4" s="74"/>
      <c r="O4" s="74"/>
      <c r="P4" s="253"/>
      <c r="Q4" s="253"/>
      <c r="R4" s="253"/>
      <c r="S4" s="253"/>
      <c r="T4" s="253"/>
      <c r="U4" s="253"/>
      <c r="V4" s="253"/>
      <c r="W4" s="253"/>
      <c r="X4" s="253"/>
      <c r="Y4" s="253"/>
      <c r="Z4" s="253"/>
      <c r="AA4" s="253"/>
      <c r="AB4" s="611" t="str">
        <f>IFERROR(IF(kombinace_1!FC2=TRUE,'Translate&amp;Prices&amp;Logo'!B654,IF(VLOOKUP(H8,kombinace_1!$A:$E,5,0)=3,'Translate&amp;Prices&amp;Logo'!B642,"")), "")</f>
        <v/>
      </c>
      <c r="AC4" s="611"/>
      <c r="AD4" s="611"/>
      <c r="AE4" s="611"/>
      <c r="AF4" s="611"/>
      <c r="AG4" s="611"/>
      <c r="AH4" s="611"/>
      <c r="AI4" s="611"/>
      <c r="AJ4" s="611"/>
      <c r="AK4" s="611"/>
      <c r="AL4" s="611"/>
      <c r="AM4" s="611"/>
      <c r="AN4" s="611"/>
      <c r="AO4" s="74"/>
      <c r="AP4" s="74"/>
      <c r="AQ4" s="74"/>
      <c r="AR4" s="74"/>
      <c r="AS4" s="256"/>
      <c r="AT4" s="295"/>
      <c r="AU4" s="296"/>
      <c r="AV4" s="296"/>
    </row>
    <row r="5" spans="1:65" ht="34.5" customHeight="1" thickBot="1">
      <c r="A5" s="74"/>
      <c r="B5" s="610" t="str">
        <f>'Translate&amp;Prices&amp;Logo'!$B$169&amp;" "&amp;" "&amp;1</f>
        <v>Frame  1</v>
      </c>
      <c r="C5" s="610"/>
      <c r="D5" s="610"/>
      <c r="E5" s="257"/>
      <c r="F5" s="610" t="str">
        <f>'Translate&amp;Prices&amp;Logo'!$B$169&amp;" "&amp;" "&amp;2</f>
        <v>Frame  2</v>
      </c>
      <c r="G5" s="610"/>
      <c r="H5" s="610"/>
      <c r="I5" s="74"/>
      <c r="J5" s="610" t="str">
        <f>'Translate&amp;Prices&amp;Logo'!$B$169&amp;" "&amp;" "&amp;3</f>
        <v>Frame  3</v>
      </c>
      <c r="K5" s="610"/>
      <c r="L5" s="610"/>
      <c r="M5" s="74"/>
      <c r="N5" s="610" t="str">
        <f>'Translate&amp;Prices&amp;Logo'!$B$169&amp;" "&amp;" "&amp;4</f>
        <v>Frame  4</v>
      </c>
      <c r="O5" s="610"/>
      <c r="P5" s="610"/>
      <c r="Q5" s="74"/>
      <c r="R5" s="610" t="str">
        <f>'Translate&amp;Prices&amp;Logo'!$B$169&amp;" "&amp;" "&amp;5</f>
        <v>Frame  5</v>
      </c>
      <c r="S5" s="610"/>
      <c r="T5" s="610"/>
      <c r="U5" s="74"/>
      <c r="V5" s="610" t="str">
        <f>'Translate&amp;Prices&amp;Logo'!$B$169&amp;" "&amp;" "&amp;6</f>
        <v>Frame  6</v>
      </c>
      <c r="W5" s="610"/>
      <c r="X5" s="610"/>
      <c r="Y5" s="74"/>
      <c r="Z5" s="74"/>
      <c r="AA5" s="74"/>
      <c r="AB5" s="612"/>
      <c r="AC5" s="612"/>
      <c r="AD5" s="612"/>
      <c r="AE5" s="612"/>
      <c r="AF5" s="612"/>
      <c r="AG5" s="612"/>
      <c r="AH5" s="612"/>
      <c r="AI5" s="612"/>
      <c r="AJ5" s="612"/>
      <c r="AK5" s="612"/>
      <c r="AL5" s="612"/>
      <c r="AM5" s="612"/>
      <c r="AN5" s="612"/>
      <c r="AO5" s="74"/>
      <c r="AP5" s="74"/>
      <c r="AQ5" s="74"/>
      <c r="AR5" s="74"/>
      <c r="AS5" s="298"/>
      <c r="AT5" s="298"/>
    </row>
    <row r="6" spans="1:65" ht="17.100000000000001" customHeight="1" thickTop="1" thickBot="1">
      <c r="A6" s="74"/>
      <c r="B6" s="74"/>
      <c r="C6" s="74"/>
      <c r="D6" s="74"/>
      <c r="E6" s="74"/>
      <c r="F6" s="74"/>
      <c r="G6" s="74"/>
      <c r="H6" s="74"/>
      <c r="I6" s="74"/>
      <c r="J6" s="74"/>
      <c r="K6" s="74"/>
      <c r="L6" s="74"/>
      <c r="M6" s="74"/>
      <c r="N6" s="74"/>
      <c r="O6" s="74"/>
      <c r="P6" s="74"/>
      <c r="Q6" s="74"/>
      <c r="R6" s="74"/>
      <c r="S6" s="74"/>
      <c r="T6" s="74"/>
      <c r="U6" s="74"/>
      <c r="V6" s="74"/>
      <c r="W6" s="74"/>
      <c r="X6" s="74"/>
      <c r="Y6" s="74"/>
      <c r="Z6" s="231"/>
      <c r="AA6" s="213"/>
      <c r="AB6" s="214"/>
      <c r="AC6" s="215"/>
      <c r="AD6" s="215"/>
      <c r="AE6" s="214"/>
      <c r="AF6" s="214"/>
      <c r="AG6" s="214"/>
      <c r="AH6" s="214"/>
      <c r="AI6" s="216"/>
      <c r="AJ6" s="217"/>
      <c r="AK6" s="214"/>
      <c r="AL6" s="214"/>
      <c r="AM6" s="215"/>
      <c r="AN6" s="215"/>
      <c r="AO6" s="214"/>
      <c r="AP6" s="218"/>
      <c r="AQ6" s="230"/>
      <c r="AR6" s="74"/>
      <c r="AS6" s="298"/>
      <c r="AT6" s="298"/>
    </row>
    <row r="7" spans="1:65" ht="14.85" customHeight="1">
      <c r="A7" s="74"/>
      <c r="B7" s="613" t="str">
        <f>'Translate&amp;Prices&amp;Logo'!$B$542</f>
        <v>Combination of 2 Profiles</v>
      </c>
      <c r="C7" s="614"/>
      <c r="D7" s="614"/>
      <c r="E7" s="614"/>
      <c r="F7" s="614"/>
      <c r="G7" s="651" t="str">
        <f>IF(kombinace_1!FC2=TRUE,AB4,"")</f>
        <v/>
      </c>
      <c r="H7" s="651"/>
      <c r="I7" s="651"/>
      <c r="J7" s="651"/>
      <c r="K7" s="651"/>
      <c r="L7" s="651"/>
      <c r="M7" s="651"/>
      <c r="N7" s="651"/>
      <c r="O7" s="651"/>
      <c r="P7" s="651"/>
      <c r="Q7" s="652"/>
      <c r="R7" s="384"/>
      <c r="S7" s="618" t="str">
        <f>'Translate&amp;Prices&amp;Logo'!$B$572</f>
        <v>Warning:</v>
      </c>
      <c r="T7" s="618"/>
      <c r="U7" s="618"/>
      <c r="V7" s="74"/>
      <c r="W7" s="74"/>
      <c r="X7" s="74"/>
      <c r="Y7" s="74"/>
      <c r="Z7" s="231"/>
      <c r="AA7" s="219"/>
      <c r="AB7" s="220"/>
      <c r="AC7" s="221"/>
      <c r="AD7" s="221"/>
      <c r="AE7" s="221"/>
      <c r="AF7" s="221"/>
      <c r="AG7" s="222"/>
      <c r="AH7" s="222"/>
      <c r="AI7" s="223"/>
      <c r="AJ7" s="617">
        <v>0</v>
      </c>
      <c r="AK7" s="221"/>
      <c r="AL7" s="221"/>
      <c r="AM7" s="221"/>
      <c r="AN7" s="221"/>
      <c r="AO7" s="224"/>
      <c r="AP7" s="225"/>
      <c r="AQ7" s="468"/>
      <c r="AR7" s="74"/>
      <c r="AS7" s="74"/>
      <c r="AT7" s="292"/>
      <c r="AU7" s="299" t="e">
        <f>VLOOKUP(H8,kombinace_1!$A:$B,2,0)</f>
        <v>#N/A</v>
      </c>
      <c r="AV7" s="293" t="e">
        <f>IF(AU7=2,"Široký",IF(AU7=1,"Úzký",IF(AU7=3,"kombo")))</f>
        <v>#N/A</v>
      </c>
    </row>
    <row r="8" spans="1:65" ht="45.6" customHeight="1">
      <c r="A8" s="212"/>
      <c r="B8" s="376" t="str">
        <f>'Translate&amp;Prices&amp;Logo'!$B$653</f>
        <v>Mesh frame filler</v>
      </c>
      <c r="C8" s="377"/>
      <c r="D8" s="377"/>
      <c r="E8" s="378" t="str">
        <f>'Translate&amp;Prices&amp;Logo'!$B$172</f>
        <v>Type of profile</v>
      </c>
      <c r="F8" s="378"/>
      <c r="G8" s="383"/>
      <c r="H8" s="619"/>
      <c r="I8" s="619"/>
      <c r="J8" s="619"/>
      <c r="K8" s="619"/>
      <c r="L8" s="619"/>
      <c r="M8" s="619"/>
      <c r="N8" s="619"/>
      <c r="O8" s="619"/>
      <c r="P8" s="619"/>
      <c r="Q8" s="620"/>
      <c r="R8" s="385"/>
      <c r="S8" s="633">
        <f>IF(AU10&gt;0,'Translate&amp;Prices&amp;Logo'!B303,IF(H8=kombinace_1!A54,'Translate&amp;Prices&amp;Logo'!B580,0))</f>
        <v>0</v>
      </c>
      <c r="T8" s="634"/>
      <c r="U8" s="634"/>
      <c r="V8" s="634"/>
      <c r="W8" s="634"/>
      <c r="X8" s="634"/>
      <c r="Y8" s="635"/>
      <c r="Z8" s="231"/>
      <c r="AA8" s="227"/>
      <c r="AB8" s="74"/>
      <c r="AC8" s="616" t="str">
        <f>'Translate&amp;Prices&amp;Logo'!$B$242</f>
        <v>Distance from edge</v>
      </c>
      <c r="AD8" s="616"/>
      <c r="AE8" s="616"/>
      <c r="AF8" s="616"/>
      <c r="AG8" s="616"/>
      <c r="AH8" s="74"/>
      <c r="AI8" s="211"/>
      <c r="AJ8" s="617"/>
      <c r="AK8" s="74"/>
      <c r="AL8" s="74"/>
      <c r="AM8" s="74"/>
      <c r="AN8" s="74"/>
      <c r="AO8" s="74"/>
      <c r="AP8" s="227"/>
      <c r="AQ8" s="468"/>
      <c r="AR8" s="74"/>
      <c r="AS8" s="74"/>
      <c r="AT8" s="292" t="e">
        <f>VLOOKUP(VLOOKUP(H8,'Translate&amp;Prices&amp;Logo'!B77:C82,2,0),'Translate&amp;Prices&amp;Logo'!B6:C60,2,0)</f>
        <v>#N/A</v>
      </c>
      <c r="AU8" s="293"/>
      <c r="AV8" s="293"/>
    </row>
    <row r="9" spans="1:65" ht="15.6" customHeight="1">
      <c r="A9" s="212"/>
      <c r="B9" s="624">
        <f>IFERROR(IF(AND(VLOOKUP(H8,kombinace_1!$A:$D,4,0)=1,kombinace_1!FC2=FALSE),'Translate&amp;Prices&amp;Logo'!$B$543,0),0)</f>
        <v>0</v>
      </c>
      <c r="C9" s="625"/>
      <c r="D9" s="625"/>
      <c r="E9" s="625"/>
      <c r="F9" s="625"/>
      <c r="G9" s="249"/>
      <c r="H9" s="605"/>
      <c r="I9" s="605"/>
      <c r="J9" s="605"/>
      <c r="K9" s="605"/>
      <c r="L9" s="605"/>
      <c r="M9" s="605"/>
      <c r="N9" s="605"/>
      <c r="O9" s="605"/>
      <c r="P9" s="605"/>
      <c r="Q9" s="606"/>
      <c r="R9" s="74"/>
      <c r="S9" s="627"/>
      <c r="T9" s="628"/>
      <c r="U9" s="628"/>
      <c r="V9" s="628"/>
      <c r="W9" s="628"/>
      <c r="X9" s="628"/>
      <c r="Y9" s="629"/>
      <c r="Z9" s="231"/>
      <c r="AA9" s="228"/>
      <c r="AB9" s="74"/>
      <c r="AC9" s="621">
        <v>0</v>
      </c>
      <c r="AD9" s="621"/>
      <c r="AE9" s="226"/>
      <c r="AF9" s="615" t="str">
        <f>('Translate&amp;Prices&amp;Logo'!$B$548)&amp;" "&amp;H26&amp;" "&amp;"mm"</f>
        <v>Pitch  mm</v>
      </c>
      <c r="AG9" s="615"/>
      <c r="AH9" s="615"/>
      <c r="AI9" s="615"/>
      <c r="AJ9" s="615"/>
      <c r="AK9" s="615"/>
      <c r="AL9" s="74"/>
      <c r="AM9" s="74"/>
      <c r="AN9" s="74"/>
      <c r="AO9" s="74"/>
      <c r="AP9" s="228"/>
      <c r="AQ9" s="468"/>
      <c r="AR9" s="74"/>
      <c r="AS9" s="74"/>
      <c r="AT9" s="292" t="e">
        <f>VLOOKUP(VLOOKUP(H8,'Translate&amp;Prices&amp;Logo'!B77:C82,2,0),'Translate&amp;Prices&amp;Logo'!B6:D60,3,0)</f>
        <v>#N/A</v>
      </c>
      <c r="AU9" s="299" t="str">
        <f>IFERROR((VLOOKUP(H12,kombinace_1!$DP$2:$DQ$3,2,0)),"")</f>
        <v/>
      </c>
      <c r="AV9" s="293"/>
    </row>
    <row r="10" spans="1:65" ht="18" customHeight="1">
      <c r="A10" s="212"/>
      <c r="B10" s="258"/>
      <c r="C10" s="250"/>
      <c r="D10" s="250"/>
      <c r="E10" s="250"/>
      <c r="F10" s="250"/>
      <c r="G10" s="250"/>
      <c r="H10" s="603"/>
      <c r="I10" s="603"/>
      <c r="J10" s="603"/>
      <c r="K10" s="603"/>
      <c r="L10" s="609"/>
      <c r="M10" s="603"/>
      <c r="N10" s="603"/>
      <c r="O10" s="603"/>
      <c r="P10" s="603"/>
      <c r="Q10" s="604"/>
      <c r="R10" s="212"/>
      <c r="S10" s="627">
        <f>IF(AU10&gt;0,'Translate&amp;Prices&amp;Logo'!B571,0)</f>
        <v>0</v>
      </c>
      <c r="T10" s="628"/>
      <c r="U10" s="628"/>
      <c r="V10" s="628"/>
      <c r="W10" s="628"/>
      <c r="X10" s="628"/>
      <c r="Y10" s="629"/>
      <c r="Z10" s="231"/>
      <c r="AA10" s="228"/>
      <c r="AB10" s="74"/>
      <c r="AC10" s="74"/>
      <c r="AD10" s="622">
        <v>0</v>
      </c>
      <c r="AE10" s="663" t="str">
        <f>'Translate&amp;Prices&amp;Logo'!$B$637</f>
        <v>Distance from the top edge</v>
      </c>
      <c r="AF10" s="74"/>
      <c r="AG10" s="74"/>
      <c r="AH10" s="74"/>
      <c r="AI10" s="211"/>
      <c r="AJ10" s="212"/>
      <c r="AK10" s="74"/>
      <c r="AL10" s="74"/>
      <c r="AM10" s="74"/>
      <c r="AN10" s="74"/>
      <c r="AO10" s="74"/>
      <c r="AP10" s="228"/>
      <c r="AQ10" s="468"/>
      <c r="AR10" s="74"/>
      <c r="AS10" s="74"/>
      <c r="AT10" s="292" t="s">
        <v>2153</v>
      </c>
      <c r="AU10" s="293">
        <f>IFERROR(VLOOKUP(H9,kombinace_1!$BY$13:$BZ$15,2,0),0)</f>
        <v>0</v>
      </c>
      <c r="AV10" s="293"/>
    </row>
    <row r="11" spans="1:65" ht="18" customHeight="1">
      <c r="A11" s="212"/>
      <c r="B11" s="647" t="str">
        <f>('Translate&amp;Prices&amp;Logo'!$B$543)&amp;" "&amp;"("&amp;'Translate&amp;Prices&amp;Logo'!$B$174&amp;")"</f>
        <v>Dividing bars (Quantity)</v>
      </c>
      <c r="C11" s="648"/>
      <c r="D11" s="648"/>
      <c r="E11" s="648"/>
      <c r="F11" s="648"/>
      <c r="G11" s="249"/>
      <c r="H11" s="607"/>
      <c r="I11" s="607"/>
      <c r="J11" s="607"/>
      <c r="K11" s="607"/>
      <c r="L11" s="608"/>
      <c r="M11" s="607"/>
      <c r="N11" s="607"/>
      <c r="O11" s="607"/>
      <c r="P11" s="607"/>
      <c r="Q11" s="623"/>
      <c r="R11" s="212"/>
      <c r="S11" s="627"/>
      <c r="T11" s="628"/>
      <c r="U11" s="628"/>
      <c r="V11" s="628"/>
      <c r="W11" s="628"/>
      <c r="X11" s="628"/>
      <c r="Y11" s="629"/>
      <c r="Z11" s="231"/>
      <c r="AA11" s="229"/>
      <c r="AB11" s="230"/>
      <c r="AC11" s="74"/>
      <c r="AD11" s="622"/>
      <c r="AE11" s="663"/>
      <c r="AF11" s="74"/>
      <c r="AG11" s="74"/>
      <c r="AH11" s="74"/>
      <c r="AI11" s="211"/>
      <c r="AJ11" s="212"/>
      <c r="AK11" s="74"/>
      <c r="AL11" s="74"/>
      <c r="AM11" s="74"/>
      <c r="AN11" s="74"/>
      <c r="AO11" s="231"/>
      <c r="AP11" s="225"/>
      <c r="AQ11" s="468"/>
      <c r="AR11" s="74"/>
      <c r="AS11" s="74"/>
      <c r="AT11" s="299">
        <f>IFERROR(IF(kombinace_1!$H$1=TRUE,BA2+AY3,0),0)</f>
        <v>0</v>
      </c>
      <c r="AU11" s="299"/>
      <c r="AV11" s="293"/>
    </row>
    <row r="12" spans="1:65" ht="18" customHeight="1">
      <c r="A12" s="212"/>
      <c r="B12" s="624" t="str">
        <f>'Translate&amp;Prices&amp;Logo'!$B$258</f>
        <v>Type of fittings</v>
      </c>
      <c r="C12" s="625"/>
      <c r="D12" s="625"/>
      <c r="E12" s="625"/>
      <c r="F12" s="625"/>
      <c r="G12" s="249"/>
      <c r="H12" s="605"/>
      <c r="I12" s="605"/>
      <c r="J12" s="605"/>
      <c r="K12" s="605"/>
      <c r="L12" s="605"/>
      <c r="M12" s="605"/>
      <c r="N12" s="605"/>
      <c r="O12" s="605"/>
      <c r="P12" s="605"/>
      <c r="Q12" s="606"/>
      <c r="R12" s="212"/>
      <c r="S12" s="627"/>
      <c r="T12" s="628"/>
      <c r="U12" s="628"/>
      <c r="V12" s="628"/>
      <c r="W12" s="628"/>
      <c r="X12" s="628"/>
      <c r="Y12" s="629"/>
      <c r="Z12" s="231"/>
      <c r="AA12" s="229"/>
      <c r="AB12" s="230"/>
      <c r="AC12" s="74"/>
      <c r="AD12" s="622"/>
      <c r="AE12" s="663"/>
      <c r="AF12" s="74"/>
      <c r="AG12" s="74"/>
      <c r="AH12" s="74"/>
      <c r="AI12" s="211"/>
      <c r="AJ12" s="212"/>
      <c r="AK12" s="74"/>
      <c r="AL12" s="74"/>
      <c r="AM12" s="74"/>
      <c r="AN12" s="74"/>
      <c r="AO12" s="231"/>
      <c r="AP12" s="225"/>
      <c r="AQ12" s="468"/>
      <c r="AR12" s="74"/>
      <c r="AS12" s="74"/>
      <c r="AT12" s="293"/>
      <c r="AU12" s="293"/>
      <c r="AV12" s="293"/>
    </row>
    <row r="13" spans="1:65" ht="18" customHeight="1" thickBot="1">
      <c r="A13" s="212"/>
      <c r="B13" s="624" t="str">
        <f>'Translate&amp;Prices&amp;Logo'!$B$544</f>
        <v>Fittings brand</v>
      </c>
      <c r="C13" s="625"/>
      <c r="D13" s="625"/>
      <c r="E13" s="625"/>
      <c r="F13" s="625"/>
      <c r="G13" s="249"/>
      <c r="H13" s="605"/>
      <c r="I13" s="605"/>
      <c r="J13" s="605"/>
      <c r="K13" s="605"/>
      <c r="L13" s="605"/>
      <c r="M13" s="605"/>
      <c r="N13" s="605"/>
      <c r="O13" s="605"/>
      <c r="P13" s="605"/>
      <c r="Q13" s="606"/>
      <c r="R13" s="212"/>
      <c r="S13" s="627">
        <f>IF(H13="Salice"," ",IF(H19&gt;=2,'Translate&amp;Prices&amp;Logo'!B575,0))</f>
        <v>0</v>
      </c>
      <c r="T13" s="628"/>
      <c r="U13" s="628"/>
      <c r="V13" s="628"/>
      <c r="W13" s="628"/>
      <c r="X13" s="628"/>
      <c r="Y13" s="629"/>
      <c r="Z13" s="231"/>
      <c r="AA13" s="229"/>
      <c r="AB13" s="230"/>
      <c r="AC13" s="74"/>
      <c r="AD13" s="226"/>
      <c r="AE13" s="663"/>
      <c r="AF13" s="74"/>
      <c r="AG13" s="74"/>
      <c r="AH13" s="74"/>
      <c r="AI13" s="211"/>
      <c r="AJ13" s="212"/>
      <c r="AK13" s="74"/>
      <c r="AL13" s="74"/>
      <c r="AM13" s="74"/>
      <c r="AN13" s="74"/>
      <c r="AO13" s="231"/>
      <c r="AP13" s="225"/>
      <c r="AQ13" s="468"/>
      <c r="AR13" s="74"/>
      <c r="AS13" s="74"/>
      <c r="AT13" s="412">
        <f>IFERROR((((AI30/1000)+(AR14/1000))*2)*(VLOOKUP(H8,'Translate&amp;Prices&amp;Logo'!B6:C74,2,0))+(VLOOKUP(H8,'Translate&amp;Prices&amp;Logo'!B6:D74,3,0)),0)</f>
        <v>0</v>
      </c>
      <c r="AU13" s="299"/>
      <c r="AV13" s="293"/>
    </row>
    <row r="14" spans="1:65" ht="18" customHeight="1">
      <c r="A14" s="212"/>
      <c r="B14" s="624">
        <f>IFERROR(IF(H12='Translate&amp;Prices&amp;Logo'!B551,'Translate&amp;Prices&amp;Logo'!$B$546,0),0)</f>
        <v>0</v>
      </c>
      <c r="C14" s="625"/>
      <c r="D14" s="625"/>
      <c r="E14" s="625"/>
      <c r="F14" s="625"/>
      <c r="G14" s="249"/>
      <c r="H14" s="605"/>
      <c r="I14" s="605"/>
      <c r="J14" s="605"/>
      <c r="K14" s="605"/>
      <c r="L14" s="605"/>
      <c r="M14" s="605"/>
      <c r="N14" s="605"/>
      <c r="O14" s="605"/>
      <c r="P14" s="605"/>
      <c r="Q14" s="606"/>
      <c r="R14" s="212"/>
      <c r="S14" s="627"/>
      <c r="T14" s="628"/>
      <c r="U14" s="628"/>
      <c r="V14" s="628"/>
      <c r="W14" s="628"/>
      <c r="X14" s="628"/>
      <c r="Y14" s="629"/>
      <c r="Z14" s="231"/>
      <c r="AA14" s="229"/>
      <c r="AB14" s="230"/>
      <c r="AC14" s="74"/>
      <c r="AD14" s="626" t="str">
        <f>('Translate&amp;Prices&amp;Logo'!$B$548)&amp;" "&amp;H26&amp;" "&amp;"mm"</f>
        <v>Pitch  mm</v>
      </c>
      <c r="AE14" s="663"/>
      <c r="AF14" s="74"/>
      <c r="AG14" s="74"/>
      <c r="AH14" s="74"/>
      <c r="AI14" s="211"/>
      <c r="AJ14" s="212"/>
      <c r="AK14" s="74"/>
      <c r="AL14" s="74"/>
      <c r="AM14" s="661" t="str">
        <f>('Translate&amp;Prices&amp;Logo'!$B$548)&amp;" "&amp;H26&amp;" "&amp;"mm"</f>
        <v>Pitch  mm</v>
      </c>
      <c r="AN14" s="74"/>
      <c r="AO14" s="232"/>
      <c r="AP14" s="225"/>
      <c r="AQ14" s="468"/>
      <c r="AR14" s="602"/>
      <c r="AS14" s="74"/>
      <c r="AT14" s="299"/>
      <c r="AU14" s="293"/>
      <c r="AV14" s="293"/>
      <c r="AW14" s="318" t="s">
        <v>3169</v>
      </c>
    </row>
    <row r="15" spans="1:65" ht="18" customHeight="1" thickBot="1">
      <c r="A15" s="212"/>
      <c r="B15" s="624" t="str">
        <f>'Translate&amp;Prices&amp;Logo'!$B$545</f>
        <v>Fittings variant</v>
      </c>
      <c r="C15" s="625"/>
      <c r="D15" s="625"/>
      <c r="E15" s="625"/>
      <c r="F15" s="625"/>
      <c r="G15" s="249"/>
      <c r="H15" s="605"/>
      <c r="I15" s="605"/>
      <c r="J15" s="605"/>
      <c r="K15" s="605"/>
      <c r="L15" s="605"/>
      <c r="M15" s="605"/>
      <c r="N15" s="605"/>
      <c r="O15" s="605"/>
      <c r="P15" s="605"/>
      <c r="Q15" s="606"/>
      <c r="R15" s="212"/>
      <c r="S15" s="627"/>
      <c r="T15" s="628"/>
      <c r="U15" s="628"/>
      <c r="V15" s="628"/>
      <c r="W15" s="628"/>
      <c r="X15" s="628"/>
      <c r="Y15" s="629"/>
      <c r="Z15" s="231"/>
      <c r="AA15" s="229"/>
      <c r="AB15" s="233"/>
      <c r="AC15" s="74"/>
      <c r="AD15" s="626"/>
      <c r="AE15" s="663"/>
      <c r="AF15" s="74"/>
      <c r="AG15" s="74"/>
      <c r="AH15" s="74"/>
      <c r="AI15" s="211"/>
      <c r="AJ15" s="212"/>
      <c r="AK15" s="74"/>
      <c r="AL15" s="74"/>
      <c r="AM15" s="661"/>
      <c r="AN15" s="74"/>
      <c r="AO15" s="232"/>
      <c r="AP15" s="225"/>
      <c r="AQ15" s="468"/>
      <c r="AR15" s="602"/>
      <c r="AS15" s="74"/>
      <c r="AT15" s="317">
        <f>IF(H9&gt;"",('Translate&amp;Prices&amp;Logo'!C97*(AW15*AW16))+'Translate&amp;Prices&amp;Logo'!C100+(AW15*'Translate&amp;Prices&amp;Logo'!C101),0)</f>
        <v>0</v>
      </c>
      <c r="AU15" s="317">
        <f>H11+1</f>
        <v>1</v>
      </c>
      <c r="AV15" s="317">
        <f>M11+1</f>
        <v>1</v>
      </c>
      <c r="AW15" s="319">
        <f>AU15*AV15</f>
        <v>1</v>
      </c>
    </row>
    <row r="16" spans="1:65" ht="18" customHeight="1">
      <c r="A16" s="212"/>
      <c r="B16" s="645" t="str">
        <f>IF(H15=kombinace_1!AB40,'Translate&amp;Prices&amp;Logo'!$B$224,IF(H15=kombinace_1!AB41,'Translate&amp;Prices&amp;Logo'!$B$224,IF(H12='závěsy dle výklopu'!BQ2,'Translate&amp;Prices&amp;Logo'!$B$222,'Translate&amp;Prices&amp;Logo'!$B$218)))</f>
        <v>Select Frame Position</v>
      </c>
      <c r="C16" s="646"/>
      <c r="D16" s="646"/>
      <c r="E16" s="646"/>
      <c r="F16" s="644"/>
      <c r="G16" s="644"/>
      <c r="H16" s="644"/>
      <c r="I16" s="644"/>
      <c r="J16" s="640" t="str">
        <f>IF(OR(H15=kombinace_1!AB40,H15=kombinace_1!AB7,H15=kombinace_1!AB15,H15=kombinace_1!AB20,H15=kombinace_1!AB21,H15=kombinace_1!AB22),'Translate&amp;Prices&amp;Logo'!$B$226,IF(H15=kombinace_1!AB41,'Translate&amp;Prices&amp;Logo'!$B$226,'Translate&amp;Prices&amp;Logo'!$B$232))</f>
        <v>Second door type</v>
      </c>
      <c r="K16" s="640"/>
      <c r="L16" s="640"/>
      <c r="M16" s="640"/>
      <c r="N16" s="638"/>
      <c r="O16" s="638"/>
      <c r="P16" s="638"/>
      <c r="Q16" s="639"/>
      <c r="R16" s="212"/>
      <c r="S16" s="627"/>
      <c r="T16" s="628"/>
      <c r="U16" s="628"/>
      <c r="V16" s="628"/>
      <c r="W16" s="628"/>
      <c r="X16" s="628"/>
      <c r="Y16" s="629"/>
      <c r="Z16" s="231"/>
      <c r="AA16" s="229"/>
      <c r="AB16" s="233"/>
      <c r="AC16" s="74"/>
      <c r="AD16" s="626"/>
      <c r="AE16" s="663"/>
      <c r="AF16" s="74"/>
      <c r="AG16" s="74"/>
      <c r="AH16" s="74"/>
      <c r="AI16" s="211"/>
      <c r="AJ16" s="212"/>
      <c r="AK16" s="74"/>
      <c r="AL16" s="74"/>
      <c r="AM16" s="661"/>
      <c r="AN16" s="74"/>
      <c r="AO16" s="232"/>
      <c r="AP16" s="225"/>
      <c r="AQ16" s="468"/>
      <c r="AR16" s="602"/>
      <c r="AS16" s="74"/>
      <c r="AT16" s="299"/>
      <c r="AU16" s="293">
        <f>(AI30/1000)/AU15</f>
        <v>0</v>
      </c>
      <c r="AV16" s="293">
        <f>(AR14/1000)/AV15</f>
        <v>0</v>
      </c>
      <c r="AW16" s="320">
        <f>(2*AU16)+(2*AV16)</f>
        <v>0</v>
      </c>
    </row>
    <row r="17" spans="1:52" ht="18" customHeight="1">
      <c r="A17" s="212"/>
      <c r="B17" s="624">
        <f>IF(H12='Translate&amp;Prices&amp;Logo'!B551,'Translate&amp;Prices&amp;Logo'!B238,IF(H15=kombinace_1!AB8,'Translate&amp;Prices&amp;Logo'!B284,0))</f>
        <v>0</v>
      </c>
      <c r="C17" s="625"/>
      <c r="D17" s="625"/>
      <c r="E17" s="625"/>
      <c r="F17" s="625"/>
      <c r="G17" s="249"/>
      <c r="H17" s="605"/>
      <c r="I17" s="605"/>
      <c r="J17" s="605"/>
      <c r="K17" s="605"/>
      <c r="L17" s="605"/>
      <c r="M17" s="605"/>
      <c r="N17" s="605"/>
      <c r="O17" s="605"/>
      <c r="P17" s="605"/>
      <c r="Q17" s="606"/>
      <c r="R17" s="212"/>
      <c r="S17" s="627"/>
      <c r="T17" s="628"/>
      <c r="U17" s="628"/>
      <c r="V17" s="628"/>
      <c r="W17" s="628"/>
      <c r="X17" s="628"/>
      <c r="Y17" s="629"/>
      <c r="Z17" s="231"/>
      <c r="AA17" s="229"/>
      <c r="AB17" s="233"/>
      <c r="AC17" s="74"/>
      <c r="AD17" s="626"/>
      <c r="AE17" s="74"/>
      <c r="AF17" s="74"/>
      <c r="AG17" s="74"/>
      <c r="AH17" s="74"/>
      <c r="AI17" s="211"/>
      <c r="AJ17" s="212"/>
      <c r="AK17" s="74"/>
      <c r="AL17" s="74"/>
      <c r="AM17" s="661"/>
      <c r="AN17" s="74"/>
      <c r="AO17" s="232"/>
      <c r="AP17" s="225"/>
      <c r="AQ17" s="468"/>
      <c r="AR17" s="602"/>
      <c r="AS17" s="74"/>
      <c r="AT17" s="299">
        <f>IF(AU10=1,BD3*'Translate&amp;Prices&amp;Logo'!C51,IF(AU10=2,BI3*'Translate&amp;Prices&amp;Logo'!C51,IF(AU10=3,(BD3+BI3)*'Translate&amp;Prices&amp;Logo'!C51,IF(AU10=0,0))))</f>
        <v>0</v>
      </c>
      <c r="AU17" s="293" t="e">
        <f>IF(H13&lt;&gt;"Salice",AU23,0)</f>
        <v>#N/A</v>
      </c>
      <c r="AV17" s="293">
        <f>IF(H13="Salice",VLOOKUP(H17,kombinace_1!$BY:$BZ,2,0),0)</f>
        <v>0</v>
      </c>
    </row>
    <row r="18" spans="1:52" ht="18" customHeight="1">
      <c r="A18" s="212"/>
      <c r="B18" s="624">
        <f>IFERROR(IF(VLOOKUP(H15,kombinace_1!CD:CE,2,0)=1,'Translate&amp;Prices&amp;Logo'!$B$547,0),0)</f>
        <v>0</v>
      </c>
      <c r="C18" s="625"/>
      <c r="D18" s="625"/>
      <c r="E18" s="625"/>
      <c r="F18" s="625"/>
      <c r="G18" s="249"/>
      <c r="H18" s="605"/>
      <c r="I18" s="605"/>
      <c r="J18" s="605"/>
      <c r="K18" s="605"/>
      <c r="L18" s="605"/>
      <c r="M18" s="605"/>
      <c r="N18" s="605"/>
      <c r="O18" s="605"/>
      <c r="P18" s="605"/>
      <c r="Q18" s="606"/>
      <c r="R18" s="212"/>
      <c r="S18" s="627">
        <f>IFERROR((IF(AND(AU7=2,H27&gt;""),'Translate&amp;Prices&amp;Logo'!$B$576,IF(AND(AU7=1,H27&gt;""),'Translate&amp;Prices&amp;Logo'!$B$626,IF(AND(AU7=3,H27&gt;""),'Translate&amp;Prices&amp;Logo'!$B$626,0)))),0)</f>
        <v>0</v>
      </c>
      <c r="T18" s="628"/>
      <c r="U18" s="628"/>
      <c r="V18" s="628"/>
      <c r="W18" s="628"/>
      <c r="X18" s="628"/>
      <c r="Y18" s="629"/>
      <c r="Z18" s="231"/>
      <c r="AA18" s="229"/>
      <c r="AB18" s="233"/>
      <c r="AC18" s="74"/>
      <c r="AD18" s="626"/>
      <c r="AE18" s="74"/>
      <c r="AF18" s="74"/>
      <c r="AG18" s="74"/>
      <c r="AH18" s="74"/>
      <c r="AI18" s="211"/>
      <c r="AJ18" s="212"/>
      <c r="AK18" s="74"/>
      <c r="AL18" s="74"/>
      <c r="AM18" s="661"/>
      <c r="AN18" s="74"/>
      <c r="AO18" s="232"/>
      <c r="AP18" s="225"/>
      <c r="AQ18" s="468"/>
      <c r="AR18" s="602"/>
      <c r="AS18" s="74"/>
      <c r="AT18" s="299"/>
      <c r="AU18" s="293"/>
      <c r="AV18" s="293"/>
    </row>
    <row r="19" spans="1:52" ht="18" customHeight="1">
      <c r="A19" s="212"/>
      <c r="B19" s="624">
        <f>IFERROR(IF(H12='Translate&amp;Prices&amp;Logo'!B551,'Translate&amp;Prices&amp;Logo'!$B$223,IF(VLOOKUP(H15,kombinace_1!CD:CE,2,0)=1,'Translate&amp;Prices&amp;Logo'!$B$223,)),0)</f>
        <v>0</v>
      </c>
      <c r="C19" s="625"/>
      <c r="D19" s="625"/>
      <c r="E19" s="625"/>
      <c r="F19" s="625"/>
      <c r="G19" s="249"/>
      <c r="H19" s="605"/>
      <c r="I19" s="605"/>
      <c r="J19" s="605"/>
      <c r="K19" s="605"/>
      <c r="L19" s="605"/>
      <c r="M19" s="605"/>
      <c r="N19" s="605"/>
      <c r="O19" s="605"/>
      <c r="P19" s="605"/>
      <c r="Q19" s="606"/>
      <c r="R19" s="212"/>
      <c r="S19" s="627"/>
      <c r="T19" s="628"/>
      <c r="U19" s="628"/>
      <c r="V19" s="628"/>
      <c r="W19" s="628"/>
      <c r="X19" s="628"/>
      <c r="Y19" s="629"/>
      <c r="Z19" s="231"/>
      <c r="AA19" s="228"/>
      <c r="AB19" s="601">
        <v>0</v>
      </c>
      <c r="AC19" s="601"/>
      <c r="AD19" s="626"/>
      <c r="AE19" s="74"/>
      <c r="AF19" s="74"/>
      <c r="AG19" s="74"/>
      <c r="AH19" s="74"/>
      <c r="AI19" s="310"/>
      <c r="AJ19" s="212"/>
      <c r="AK19" s="74"/>
      <c r="AL19" s="660" t="str">
        <f>'Translate&amp;Prices&amp;Logo'!$B$636</f>
        <v>Distance from the bottom edge</v>
      </c>
      <c r="AM19" s="661"/>
      <c r="AN19" s="601">
        <v>0</v>
      </c>
      <c r="AO19" s="601"/>
      <c r="AP19" s="227"/>
      <c r="AQ19" s="468"/>
      <c r="AR19" s="600" t="str">
        <f>'Translate&amp;Prices&amp;Logo'!$B$176</f>
        <v>Height</v>
      </c>
      <c r="AS19" s="74"/>
      <c r="AT19" s="299"/>
      <c r="AU19" s="291">
        <f>IFERROR(IF(H12='závěsy dle výklopu'!BR2,VLOOKUP(H15,kombinace_1!$CD$3:$CF$18,3,0),IF(H12='závěsy dle výklopu'!BQ2,1,0)),0)</f>
        <v>0</v>
      </c>
      <c r="AV19" s="293">
        <f>IFERROR(VLOOKUP(H15,kombinace_1!$CD:$CF,3,0),0)</f>
        <v>0</v>
      </c>
    </row>
    <row r="20" spans="1:52" ht="18" customHeight="1">
      <c r="A20" s="212"/>
      <c r="B20" s="649">
        <f>IF(H13&lt;&gt;"Salice",(IFERROR('Translate&amp;Prices&amp;Logo'!$B$242&amp;" "&amp;(VLOOKUP(H17,kombinace_1!$BY$32:$CA$35,2,0)),0)),0)</f>
        <v>0</v>
      </c>
      <c r="C20" s="650"/>
      <c r="D20" s="650"/>
      <c r="E20" s="650"/>
      <c r="F20" s="636">
        <v>100</v>
      </c>
      <c r="G20" s="636"/>
      <c r="H20" s="636"/>
      <c r="I20" s="636"/>
      <c r="J20" s="650">
        <f>IFERROR('Translate&amp;Prices&amp;Logo'!$B$242&amp;" "&amp;(VLOOKUP(H17,kombinace_1!$BY$32:$CA$35,3,0)),0)</f>
        <v>0</v>
      </c>
      <c r="K20" s="650"/>
      <c r="L20" s="650"/>
      <c r="M20" s="650"/>
      <c r="N20" s="636">
        <v>100</v>
      </c>
      <c r="O20" s="636"/>
      <c r="P20" s="636"/>
      <c r="Q20" s="637"/>
      <c r="R20" s="212"/>
      <c r="S20" s="627"/>
      <c r="T20" s="628"/>
      <c r="U20" s="628"/>
      <c r="V20" s="628"/>
      <c r="W20" s="628"/>
      <c r="X20" s="628"/>
      <c r="Y20" s="629"/>
      <c r="Z20" s="231"/>
      <c r="AA20" s="229"/>
      <c r="AB20" s="230"/>
      <c r="AC20" s="74"/>
      <c r="AD20" s="626"/>
      <c r="AE20" s="74"/>
      <c r="AF20" s="74"/>
      <c r="AG20" s="74"/>
      <c r="AH20" s="74"/>
      <c r="AI20" s="211"/>
      <c r="AJ20" s="212"/>
      <c r="AK20" s="74"/>
      <c r="AL20" s="660"/>
      <c r="AM20" s="661"/>
      <c r="AN20" s="74"/>
      <c r="AO20" s="232"/>
      <c r="AP20" s="225"/>
      <c r="AQ20" s="468"/>
      <c r="AR20" s="600"/>
      <c r="AS20" s="74"/>
      <c r="AT20" s="299"/>
      <c r="AU20" s="293"/>
      <c r="AV20" s="293"/>
    </row>
    <row r="21" spans="1:52" ht="18" customHeight="1">
      <c r="A21" s="212"/>
      <c r="B21" s="624" t="str">
        <f>IF(kombinace_1!FC2=FALSE,'Translate&amp;Prices&amp;Logo'!$B$173," ")</f>
        <v>Type of glass</v>
      </c>
      <c r="C21" s="625"/>
      <c r="D21" s="625"/>
      <c r="E21" s="625"/>
      <c r="F21" s="625"/>
      <c r="G21" s="249"/>
      <c r="H21" s="605"/>
      <c r="I21" s="605"/>
      <c r="J21" s="605"/>
      <c r="K21" s="605"/>
      <c r="L21" s="605"/>
      <c r="M21" s="605"/>
      <c r="N21" s="605"/>
      <c r="O21" s="605"/>
      <c r="P21" s="605"/>
      <c r="Q21" s="606"/>
      <c r="R21" s="212"/>
      <c r="S21" s="627"/>
      <c r="T21" s="628"/>
      <c r="U21" s="628"/>
      <c r="V21" s="628"/>
      <c r="W21" s="628"/>
      <c r="X21" s="628"/>
      <c r="Y21" s="629"/>
      <c r="Z21" s="231"/>
      <c r="AA21" s="229"/>
      <c r="AB21" s="230"/>
      <c r="AC21" s="74"/>
      <c r="AD21" s="626"/>
      <c r="AE21" s="74"/>
      <c r="AF21" s="74"/>
      <c r="AG21" s="74"/>
      <c r="AH21" s="74"/>
      <c r="AI21" s="211"/>
      <c r="AJ21" s="212"/>
      <c r="AK21" s="74"/>
      <c r="AL21" s="660"/>
      <c r="AM21" s="661"/>
      <c r="AN21" s="74"/>
      <c r="AO21" s="231"/>
      <c r="AP21" s="225"/>
      <c r="AQ21" s="468"/>
      <c r="AR21" s="600"/>
      <c r="AS21" s="74"/>
      <c r="AT21" s="299"/>
      <c r="AU21" s="293"/>
      <c r="AV21" s="293"/>
      <c r="AY21" s="264" t="e">
        <f>AND(AU7=2,H27&gt;"")</f>
        <v>#N/A</v>
      </c>
      <c r="AZ21" s="264" t="e">
        <f>AND(AU7=1,H27&gt;"")</f>
        <v>#N/A</v>
      </c>
    </row>
    <row r="22" spans="1:52" ht="18" customHeight="1">
      <c r="A22" s="212"/>
      <c r="B22" s="379"/>
      <c r="C22" s="380"/>
      <c r="D22" s="380"/>
      <c r="E22" s="380"/>
      <c r="F22" s="380"/>
      <c r="G22" s="250"/>
      <c r="H22" s="250"/>
      <c r="I22" s="250"/>
      <c r="J22" s="250"/>
      <c r="K22" s="250"/>
      <c r="L22" s="250"/>
      <c r="M22" s="250"/>
      <c r="N22" s="250"/>
      <c r="O22" s="250"/>
      <c r="P22" s="250"/>
      <c r="Q22" s="306"/>
      <c r="R22" s="212"/>
      <c r="S22" s="627"/>
      <c r="T22" s="628"/>
      <c r="U22" s="628"/>
      <c r="V22" s="628"/>
      <c r="W22" s="628"/>
      <c r="X22" s="628"/>
      <c r="Y22" s="629"/>
      <c r="Z22" s="231"/>
      <c r="AA22" s="229"/>
      <c r="AB22" s="230"/>
      <c r="AC22" s="74"/>
      <c r="AD22" s="74"/>
      <c r="AE22" s="74"/>
      <c r="AF22" s="74"/>
      <c r="AG22" s="74"/>
      <c r="AH22" s="74"/>
      <c r="AI22" s="211"/>
      <c r="AJ22" s="212"/>
      <c r="AK22" s="74"/>
      <c r="AL22" s="660"/>
      <c r="AM22" s="226"/>
      <c r="AN22" s="74"/>
      <c r="AO22" s="231"/>
      <c r="AP22" s="225"/>
      <c r="AQ22" s="468"/>
      <c r="AR22" s="600"/>
      <c r="AS22" s="74"/>
      <c r="AT22" s="299"/>
      <c r="AU22" s="293"/>
      <c r="AV22" s="293"/>
    </row>
    <row r="23" spans="1:52" ht="18" customHeight="1">
      <c r="A23" s="212"/>
      <c r="B23" s="379"/>
      <c r="C23" s="380"/>
      <c r="D23" s="380"/>
      <c r="E23" s="380"/>
      <c r="F23" s="380"/>
      <c r="G23" s="250"/>
      <c r="H23" s="568" t="str">
        <f>"↥↥  "&amp;'Translate&amp;Prices&amp;Logo'!$B$573&amp;"  ↥↥"</f>
        <v>↥↥  Do not change after you make a choice type of glass/mesh  ↥↥</v>
      </c>
      <c r="I23" s="568"/>
      <c r="J23" s="568"/>
      <c r="K23" s="568"/>
      <c r="L23" s="568"/>
      <c r="M23" s="568"/>
      <c r="N23" s="568"/>
      <c r="O23" s="568"/>
      <c r="P23" s="568"/>
      <c r="Q23" s="662"/>
      <c r="R23" s="212"/>
      <c r="S23" s="630"/>
      <c r="T23" s="631"/>
      <c r="U23" s="631"/>
      <c r="V23" s="631"/>
      <c r="W23" s="631"/>
      <c r="X23" s="631"/>
      <c r="Y23" s="632"/>
      <c r="Z23" s="231"/>
      <c r="AA23" s="229"/>
      <c r="AB23" s="230"/>
      <c r="AC23" s="74"/>
      <c r="AD23" s="74"/>
      <c r="AE23" s="74"/>
      <c r="AF23" s="74"/>
      <c r="AG23" s="74"/>
      <c r="AH23" s="74"/>
      <c r="AI23" s="211"/>
      <c r="AJ23" s="212"/>
      <c r="AK23" s="74"/>
      <c r="AL23" s="660"/>
      <c r="AM23" s="617">
        <v>0</v>
      </c>
      <c r="AN23" s="74"/>
      <c r="AO23" s="231"/>
      <c r="AP23" s="225"/>
      <c r="AQ23" s="468"/>
      <c r="AR23" s="600"/>
      <c r="AS23" s="74"/>
      <c r="AT23" s="299"/>
      <c r="AU23" s="293" t="e">
        <f>VLOOKUP(H17,kombinace_1!$BY$3:$BZ$6,2,0)</f>
        <v>#N/A</v>
      </c>
      <c r="AV23" s="293"/>
    </row>
    <row r="24" spans="1:52" ht="18" customHeight="1">
      <c r="A24" s="212"/>
      <c r="B24" s="685" t="str">
        <f>'Translate&amp;Prices&amp;Logo'!$B$562</f>
        <v>Type of foil</v>
      </c>
      <c r="C24" s="686"/>
      <c r="D24" s="686"/>
      <c r="E24" s="686"/>
      <c r="F24" s="686"/>
      <c r="G24" s="249"/>
      <c r="H24" s="607"/>
      <c r="I24" s="607"/>
      <c r="J24" s="607"/>
      <c r="K24" s="607"/>
      <c r="L24" s="607"/>
      <c r="M24" s="607"/>
      <c r="N24" s="607"/>
      <c r="O24" s="607"/>
      <c r="P24" s="607"/>
      <c r="Q24" s="623"/>
      <c r="R24" s="212"/>
      <c r="S24" s="618" t="str">
        <f>'Translate&amp;Prices&amp;Logo'!$B$177</f>
        <v>Notes</v>
      </c>
      <c r="T24" s="618"/>
      <c r="U24" s="618"/>
      <c r="Z24" s="231"/>
      <c r="AA24" s="229"/>
      <c r="AB24" s="230"/>
      <c r="AC24" s="616" t="str">
        <f>'Translate&amp;Prices&amp;Logo'!$B$242</f>
        <v>Distance from edge</v>
      </c>
      <c r="AD24" s="616"/>
      <c r="AE24" s="616"/>
      <c r="AF24" s="616"/>
      <c r="AG24" s="616"/>
      <c r="AH24" s="74"/>
      <c r="AI24" s="211"/>
      <c r="AJ24" s="212"/>
      <c r="AK24" s="74"/>
      <c r="AL24" s="660"/>
      <c r="AM24" s="617"/>
      <c r="AN24" s="74"/>
      <c r="AO24" s="231"/>
      <c r="AP24" s="234"/>
      <c r="AQ24" s="468"/>
      <c r="AR24" s="74"/>
      <c r="AS24" s="486">
        <f>IF(H28&gt;0,AR14,0)</f>
        <v>0</v>
      </c>
      <c r="AT24" s="299"/>
      <c r="AU24" s="293" t="e">
        <f>CONCATENATE(AU23,"_",H19)</f>
        <v>#N/A</v>
      </c>
      <c r="AV24" s="293"/>
      <c r="AW24" s="264">
        <f>IF(AI30&gt;=2600,1.3,IF(AR14&gt;=2600,1.3,1))</f>
        <v>1</v>
      </c>
    </row>
    <row r="25" spans="1:52" ht="18" customHeight="1">
      <c r="A25" s="212"/>
      <c r="B25" s="624" t="str">
        <f>'Translate&amp;Prices&amp;Logo'!$B$625</f>
        <v>Type of glass/mesh</v>
      </c>
      <c r="C25" s="625"/>
      <c r="D25" s="625"/>
      <c r="E25" s="625"/>
      <c r="F25" s="625"/>
      <c r="G25" s="249"/>
      <c r="H25" s="605"/>
      <c r="I25" s="605"/>
      <c r="J25" s="605"/>
      <c r="K25" s="605"/>
      <c r="L25" s="605"/>
      <c r="M25" s="605"/>
      <c r="N25" s="605"/>
      <c r="O25" s="605"/>
      <c r="P25" s="605"/>
      <c r="Q25" s="606"/>
      <c r="R25" s="212"/>
      <c r="S25" s="665"/>
      <c r="T25" s="666"/>
      <c r="U25" s="666"/>
      <c r="V25" s="666"/>
      <c r="W25" s="666"/>
      <c r="X25" s="666"/>
      <c r="Y25" s="667"/>
      <c r="Z25" s="231"/>
      <c r="AA25" s="229"/>
      <c r="AB25" s="230"/>
      <c r="AC25" s="601">
        <v>0</v>
      </c>
      <c r="AD25" s="601"/>
      <c r="AE25" s="226"/>
      <c r="AF25" s="615" t="str">
        <f>('Translate&amp;Prices&amp;Logo'!$B$548)&amp;" "&amp;H26&amp;" "&amp;"mm"</f>
        <v>Pitch  mm</v>
      </c>
      <c r="AG25" s="615"/>
      <c r="AH25" s="615"/>
      <c r="AI25" s="615"/>
      <c r="AJ25" s="615"/>
      <c r="AK25" s="615"/>
      <c r="AL25" s="660"/>
      <c r="AM25" s="617"/>
      <c r="AN25" s="74"/>
      <c r="AO25" s="231"/>
      <c r="AP25" s="234"/>
      <c r="AQ25" s="468"/>
      <c r="AR25" s="74"/>
      <c r="AS25" s="74"/>
      <c r="AT25" s="299"/>
      <c r="AU25" s="293" t="e">
        <f>VLOOKUP(H27,kombinace_1!$BY:$BZ,2,0)</f>
        <v>#N/A</v>
      </c>
      <c r="AV25" s="293"/>
    </row>
    <row r="26" spans="1:52" ht="18" customHeight="1">
      <c r="A26" s="212"/>
      <c r="B26" s="624" t="str">
        <f>'Translate&amp;Prices&amp;Logo'!$B$549</f>
        <v>Handle diameter (mm)</v>
      </c>
      <c r="C26" s="625"/>
      <c r="D26" s="625"/>
      <c r="E26" s="625"/>
      <c r="F26" s="625"/>
      <c r="G26" s="249"/>
      <c r="H26" s="656"/>
      <c r="I26" s="656"/>
      <c r="J26" s="656"/>
      <c r="K26" s="656"/>
      <c r="L26" s="656"/>
      <c r="M26" s="656"/>
      <c r="N26" s="656"/>
      <c r="O26" s="656"/>
      <c r="P26" s="656"/>
      <c r="Q26" s="657"/>
      <c r="R26" s="212"/>
      <c r="S26" s="668"/>
      <c r="T26" s="669"/>
      <c r="U26" s="669"/>
      <c r="V26" s="669"/>
      <c r="W26" s="669"/>
      <c r="X26" s="669"/>
      <c r="Y26" s="670"/>
      <c r="Z26" s="231"/>
      <c r="AA26" s="229"/>
      <c r="AB26" s="230"/>
      <c r="AC26" s="74"/>
      <c r="AD26" s="74"/>
      <c r="AE26" s="74"/>
      <c r="AF26" s="74"/>
      <c r="AG26" s="74"/>
      <c r="AH26" s="74"/>
      <c r="AI26" s="211"/>
      <c r="AJ26" s="622">
        <v>0</v>
      </c>
      <c r="AK26" s="74"/>
      <c r="AL26" s="74"/>
      <c r="AM26" s="74"/>
      <c r="AN26" s="74"/>
      <c r="AO26" s="231"/>
      <c r="AP26" s="225"/>
      <c r="AQ26" s="468"/>
      <c r="AR26" s="74"/>
      <c r="AS26" s="74"/>
      <c r="AT26" s="299"/>
    </row>
    <row r="27" spans="1:52" ht="18" customHeight="1">
      <c r="A27" s="212"/>
      <c r="B27" s="624" t="str">
        <f>'Translate&amp;Prices&amp;Logo'!$B$550</f>
        <v>Handle position</v>
      </c>
      <c r="C27" s="625"/>
      <c r="D27" s="625"/>
      <c r="E27" s="625"/>
      <c r="F27" s="625"/>
      <c r="G27" s="249"/>
      <c r="H27" s="605"/>
      <c r="I27" s="605"/>
      <c r="J27" s="605"/>
      <c r="K27" s="605"/>
      <c r="L27" s="605"/>
      <c r="M27" s="605"/>
      <c r="N27" s="605"/>
      <c r="O27" s="605"/>
      <c r="P27" s="605"/>
      <c r="Q27" s="606"/>
      <c r="R27" s="212"/>
      <c r="S27" s="668"/>
      <c r="T27" s="669"/>
      <c r="U27" s="669"/>
      <c r="V27" s="669"/>
      <c r="W27" s="669"/>
      <c r="X27" s="669"/>
      <c r="Y27" s="670"/>
      <c r="Z27" s="231"/>
      <c r="AA27" s="219"/>
      <c r="AB27" s="235"/>
      <c r="AC27" s="236"/>
      <c r="AD27" s="236"/>
      <c r="AE27" s="236"/>
      <c r="AF27" s="236"/>
      <c r="AG27" s="236"/>
      <c r="AH27" s="237"/>
      <c r="AI27" s="238"/>
      <c r="AJ27" s="622"/>
      <c r="AK27" s="236"/>
      <c r="AL27" s="236"/>
      <c r="AM27" s="236"/>
      <c r="AN27" s="236"/>
      <c r="AO27" s="239"/>
      <c r="AP27" s="225"/>
      <c r="AQ27" s="468"/>
      <c r="AR27" s="74"/>
      <c r="AS27" s="74"/>
      <c r="AT27" s="299"/>
    </row>
    <row r="28" spans="1:52" ht="18" customHeight="1">
      <c r="A28" s="212"/>
      <c r="B28" s="682" t="str">
        <f>('Translate&amp;Prices&amp;Logo'!$B$174)</f>
        <v>Quantity</v>
      </c>
      <c r="C28" s="683"/>
      <c r="D28" s="683"/>
      <c r="E28" s="683"/>
      <c r="F28" s="683"/>
      <c r="G28" s="249"/>
      <c r="H28" s="642"/>
      <c r="I28" s="642"/>
      <c r="J28" s="642"/>
      <c r="K28" s="642"/>
      <c r="L28" s="642"/>
      <c r="M28" s="642"/>
      <c r="N28" s="642"/>
      <c r="O28" s="642"/>
      <c r="P28" s="642"/>
      <c r="Q28" s="643"/>
      <c r="R28" s="212"/>
      <c r="S28" s="668"/>
      <c r="T28" s="669"/>
      <c r="U28" s="669"/>
      <c r="V28" s="669"/>
      <c r="W28" s="669"/>
      <c r="X28" s="669"/>
      <c r="Y28" s="670"/>
      <c r="Z28" s="231"/>
      <c r="AA28" s="240"/>
      <c r="AB28" s="241"/>
      <c r="AC28" s="242"/>
      <c r="AD28" s="242"/>
      <c r="AE28" s="241"/>
      <c r="AF28" s="241"/>
      <c r="AG28" s="241"/>
      <c r="AH28" s="241"/>
      <c r="AI28" s="243"/>
      <c r="AJ28" s="217"/>
      <c r="AK28" s="241"/>
      <c r="AL28" s="241"/>
      <c r="AM28" s="242"/>
      <c r="AN28" s="242"/>
      <c r="AO28" s="241"/>
      <c r="AP28" s="244"/>
      <c r="AQ28" s="230"/>
      <c r="AR28" s="74"/>
      <c r="AS28" s="74"/>
      <c r="AT28" s="299"/>
    </row>
    <row r="29" spans="1:52" ht="25.9" customHeight="1">
      <c r="A29" s="212"/>
      <c r="B29" s="259"/>
      <c r="C29" s="248"/>
      <c r="D29" s="690" t="str">
        <f>IF(Hlavní!$V$39=3,"",'Translate&amp;Prices&amp;Logo'!$B$225&amp;" -&gt; "&amp; 'Translate&amp;Prices&amp;Logo'!B241&amp;":")</f>
        <v>Supply including specified fittings -&gt; select from list:</v>
      </c>
      <c r="E29" s="690"/>
      <c r="F29" s="690"/>
      <c r="G29" s="690"/>
      <c r="H29" s="690"/>
      <c r="I29" s="690"/>
      <c r="J29" s="690"/>
      <c r="K29" s="690"/>
      <c r="L29" s="690"/>
      <c r="M29" s="690"/>
      <c r="N29" s="690"/>
      <c r="O29" s="690"/>
      <c r="P29" s="688"/>
      <c r="Q29" s="689"/>
      <c r="R29" s="212"/>
      <c r="S29" s="668"/>
      <c r="T29" s="669"/>
      <c r="U29" s="669"/>
      <c r="V29" s="669"/>
      <c r="W29" s="669"/>
      <c r="X29" s="669"/>
      <c r="Y29" s="670"/>
      <c r="Z29" s="74"/>
      <c r="AA29" s="265" t="e">
        <f>VLOOKUP(H14,kombinace_1!$DN$7:$DO$24,2,0)</f>
        <v>#N/A</v>
      </c>
      <c r="AB29" s="659">
        <f>IF(kombinace_1!FC2=TRUE,AB4,IF(H12='závěsy dle výklopu'!BQ2,'Translate&amp;Prices&amp;Logo'!B577,0))</f>
        <v>0</v>
      </c>
      <c r="AC29" s="659"/>
      <c r="AD29" s="659"/>
      <c r="AE29" s="659"/>
      <c r="AF29" s="659"/>
      <c r="AG29" s="659"/>
      <c r="AH29" s="659"/>
      <c r="AI29" s="659"/>
      <c r="AJ29" s="659"/>
      <c r="AK29" s="659"/>
      <c r="AL29" s="659"/>
      <c r="AM29" s="659"/>
      <c r="AN29" s="659"/>
      <c r="AO29" s="659"/>
      <c r="AP29" s="265"/>
      <c r="AQ29" s="74"/>
      <c r="AR29" s="74"/>
      <c r="AS29" s="74"/>
      <c r="AT29" s="299"/>
    </row>
    <row r="30" spans="1:52" ht="23.25" customHeight="1">
      <c r="A30" s="212"/>
      <c r="B30" s="678" t="str">
        <f>'Translate&amp;Prices&amp;Logo'!$B$178</f>
        <v>Total price of frames</v>
      </c>
      <c r="C30" s="679"/>
      <c r="D30" s="679"/>
      <c r="E30" s="679"/>
      <c r="F30" s="679"/>
      <c r="G30" s="679"/>
      <c r="H30" s="679"/>
      <c r="I30" s="679"/>
      <c r="J30" s="679"/>
      <c r="K30" s="553"/>
      <c r="L30" s="654">
        <f>IF(OR((AI30&gt;AI43),(AR14&gt;AJ43)),"",((((AT11+AT13+AT15+AT17+AT33+AT35+AT37)*AT43)*(1-(Zakaznik!K21/100)))*AW24))</f>
        <v>0</v>
      </c>
      <c r="M30" s="654"/>
      <c r="N30" s="654"/>
      <c r="O30" s="654"/>
      <c r="P30" s="674" t="str">
        <f>VLOOKUP('Translate&amp;Prices&amp;Logo'!D1,'závěsy dle výklopu'!A204:B209,2,0)</f>
        <v>€</v>
      </c>
      <c r="Q30" s="675"/>
      <c r="R30" s="212"/>
      <c r="S30" s="668"/>
      <c r="T30" s="669"/>
      <c r="U30" s="669"/>
      <c r="V30" s="669"/>
      <c r="W30" s="669"/>
      <c r="X30" s="669"/>
      <c r="Y30" s="670"/>
      <c r="Z30" s="74"/>
      <c r="AA30" s="74"/>
      <c r="AB30" s="212"/>
      <c r="AC30" s="74"/>
      <c r="AD30" s="74"/>
      <c r="AE30" s="74"/>
      <c r="AF30" s="658" t="str">
        <f>'Translate&amp;Prices&amp;Logo'!$B$175</f>
        <v>Width</v>
      </c>
      <c r="AG30" s="658"/>
      <c r="AH30" s="658"/>
      <c r="AI30" s="653"/>
      <c r="AJ30" s="653"/>
      <c r="AK30" s="653"/>
      <c r="AL30" s="74"/>
      <c r="AM30" s="74"/>
      <c r="AN30" s="74"/>
      <c r="AO30" s="74"/>
      <c r="AP30" s="74"/>
      <c r="AQ30" s="74"/>
      <c r="AR30" s="74"/>
      <c r="AS30" s="74"/>
      <c r="AT30" s="299"/>
      <c r="AU30" s="291" t="e">
        <f>HLOOKUP("_Úzký_dolny_K12",kombinace_1!CV2:CW19,3,FALSE)</f>
        <v>#N/A</v>
      </c>
    </row>
    <row r="31" spans="1:52" ht="14.1" customHeight="1" thickBot="1">
      <c r="A31" s="212"/>
      <c r="B31" s="680"/>
      <c r="C31" s="681"/>
      <c r="D31" s="681"/>
      <c r="E31" s="681"/>
      <c r="F31" s="681"/>
      <c r="G31" s="681"/>
      <c r="H31" s="681"/>
      <c r="I31" s="681"/>
      <c r="J31" s="681"/>
      <c r="K31" s="684"/>
      <c r="L31" s="655"/>
      <c r="M31" s="655"/>
      <c r="N31" s="655"/>
      <c r="O31" s="655"/>
      <c r="P31" s="676"/>
      <c r="Q31" s="677"/>
      <c r="R31" s="212"/>
      <c r="S31" s="671"/>
      <c r="T31" s="672"/>
      <c r="U31" s="672"/>
      <c r="V31" s="672"/>
      <c r="W31" s="672"/>
      <c r="X31" s="672"/>
      <c r="Y31" s="673"/>
      <c r="Z31" s="74"/>
      <c r="AA31" s="254"/>
      <c r="AB31" s="245"/>
      <c r="AC31" s="245"/>
      <c r="AD31" s="254"/>
      <c r="AE31" s="254"/>
      <c r="AF31" s="254"/>
      <c r="AG31" s="254"/>
      <c r="AH31" s="254"/>
      <c r="AI31" s="439"/>
      <c r="AJ31" s="254"/>
      <c r="AK31" s="254"/>
      <c r="AL31" s="254"/>
      <c r="AM31" s="254"/>
      <c r="AN31" s="254"/>
      <c r="AO31" s="599" t="str">
        <f>'Translate&amp;Prices&amp;Logo'!$B$567</f>
        <v>Summary</v>
      </c>
      <c r="AP31" s="599"/>
      <c r="AQ31" s="599"/>
      <c r="AR31" s="599"/>
      <c r="AS31" s="74"/>
      <c r="AT31" s="299"/>
      <c r="AU31" s="291" t="e">
        <f>AD44</f>
        <v>#N/A</v>
      </c>
    </row>
    <row r="32" spans="1:52" ht="17.25" customHeight="1">
      <c r="A32" s="212"/>
      <c r="B32" s="641" t="str">
        <f>'Translate&amp;Prices&amp;Logo'!$B$171</f>
        <v>Prices shown are VAT-free and do not include price of the fittings required!</v>
      </c>
      <c r="C32" s="641"/>
      <c r="D32" s="641"/>
      <c r="E32" s="641"/>
      <c r="F32" s="641"/>
      <c r="G32" s="641"/>
      <c r="H32" s="641"/>
      <c r="I32" s="641"/>
      <c r="J32" s="641"/>
      <c r="K32" s="641"/>
      <c r="L32" s="641"/>
      <c r="M32" s="641"/>
      <c r="N32" s="641"/>
      <c r="O32" s="641"/>
      <c r="P32" s="641"/>
      <c r="Q32" s="641"/>
      <c r="R32" s="212"/>
      <c r="S32" s="74"/>
      <c r="T32" s="74"/>
      <c r="U32" s="74"/>
      <c r="V32" s="74"/>
      <c r="W32" s="74"/>
      <c r="X32" s="74"/>
      <c r="Y32" s="74"/>
      <c r="Z32" s="74"/>
      <c r="AA32" s="74"/>
      <c r="AB32" s="212"/>
      <c r="AC32" s="74"/>
      <c r="AD32" s="74"/>
      <c r="AE32" s="74"/>
      <c r="AF32" s="74"/>
      <c r="AG32" s="74"/>
      <c r="AH32" s="74"/>
      <c r="AI32" s="74"/>
      <c r="AJ32" s="74"/>
      <c r="AK32" s="74"/>
      <c r="AL32" s="74"/>
      <c r="AM32" s="74"/>
      <c r="AN32" s="74"/>
      <c r="AO32" s="599"/>
      <c r="AP32" s="599"/>
      <c r="AQ32" s="599"/>
      <c r="AR32" s="599"/>
      <c r="AS32" s="212"/>
      <c r="AT32" s="299"/>
    </row>
    <row r="33" spans="1:58" ht="34.5" customHeight="1">
      <c r="A33" s="212"/>
      <c r="B33" s="664" t="str">
        <f>'Translate&amp;Prices&amp;Logo'!$B$641</f>
        <v>Frames without glass are delivered disassembled.</v>
      </c>
      <c r="C33" s="664"/>
      <c r="D33" s="664"/>
      <c r="E33" s="664"/>
      <c r="F33" s="664"/>
      <c r="G33" s="664"/>
      <c r="H33" s="664"/>
      <c r="I33" s="664"/>
      <c r="J33" s="664"/>
      <c r="K33" s="664"/>
      <c r="L33" s="664" t="str">
        <f>IF(OR((AI30&gt;AI43),(AR14&gt;AJ43)),'Translate&amp;Prices&amp;Logo'!B691,"")</f>
        <v/>
      </c>
      <c r="M33" s="664"/>
      <c r="N33" s="664"/>
      <c r="O33" s="664"/>
      <c r="P33" s="664"/>
      <c r="Q33" s="664"/>
      <c r="R33" s="664"/>
      <c r="S33" s="664"/>
      <c r="T33" s="408"/>
      <c r="U33" s="408"/>
      <c r="V33" s="408"/>
      <c r="W33" s="408"/>
      <c r="X33" s="408"/>
      <c r="Y33" s="408"/>
      <c r="Z33" s="408"/>
      <c r="AA33" s="408"/>
      <c r="AB33" s="408"/>
      <c r="AC33" s="408"/>
      <c r="AD33" s="74"/>
      <c r="AE33" s="74"/>
      <c r="AF33" s="301"/>
      <c r="AG33" s="74"/>
      <c r="AJ33" s="74"/>
      <c r="AK33" s="74"/>
      <c r="AL33" s="74"/>
      <c r="AM33" s="74"/>
      <c r="AN33" s="74"/>
      <c r="AO33" s="74"/>
      <c r="AP33" s="74"/>
      <c r="AQ33" s="74"/>
      <c r="AR33" s="74"/>
      <c r="AS33" s="212"/>
      <c r="AT33" s="299">
        <f>IF(kombinace_1!V1=2,((AR14/1000)*(AI30/1000))*'Translate&amp;Prices&amp;Logo'!C94,0)</f>
        <v>0</v>
      </c>
    </row>
    <row r="34" spans="1:58" s="301" customFormat="1" ht="36.75" customHeight="1">
      <c r="A34" s="302"/>
      <c r="B34" s="664"/>
      <c r="C34" s="664"/>
      <c r="D34" s="664"/>
      <c r="E34" s="664"/>
      <c r="F34" s="664"/>
      <c r="G34" s="664"/>
      <c r="H34" s="664"/>
      <c r="I34" s="664"/>
      <c r="J34" s="664"/>
      <c r="K34" s="664"/>
      <c r="L34" s="664"/>
      <c r="M34" s="664"/>
      <c r="N34" s="664"/>
      <c r="O34" s="664"/>
      <c r="P34" s="664"/>
      <c r="Q34" s="664"/>
      <c r="R34" s="664"/>
      <c r="S34" s="664"/>
      <c r="V34" s="687"/>
      <c r="W34" s="687"/>
      <c r="AS34" s="300"/>
      <c r="AT34" s="300"/>
      <c r="AW34" s="408"/>
      <c r="AX34" s="408"/>
      <c r="AY34" s="408"/>
      <c r="AZ34" s="408"/>
      <c r="BA34" s="408"/>
      <c r="BB34" s="408"/>
      <c r="BC34" s="408"/>
      <c r="BD34" s="408"/>
      <c r="BE34" s="408"/>
      <c r="BF34" s="408"/>
    </row>
    <row r="35" spans="1:58" ht="15" hidden="1" customHeight="1">
      <c r="B35" s="264"/>
      <c r="R35" s="293"/>
      <c r="S35" s="293"/>
      <c r="T35" s="302"/>
      <c r="AD35" s="264"/>
      <c r="AE35" s="264"/>
      <c r="AN35" s="301"/>
      <c r="AO35" s="301"/>
      <c r="AP35" s="301"/>
      <c r="AQ35" s="301"/>
      <c r="AS35" s="299"/>
      <c r="AT35" s="299">
        <f>IF(kombinace_1!$V$1=3,IFERROR(((VLOOKUP(H24,'Translate&amp;Prices&amp;Logo'!B91:C93,2,0))*(AR14/1000)),0),0)</f>
        <v>0</v>
      </c>
      <c r="AV35" s="431" t="s">
        <v>4597</v>
      </c>
      <c r="AW35" s="432"/>
      <c r="AX35" s="432"/>
      <c r="AY35" s="408"/>
    </row>
    <row r="36" spans="1:58" s="310" customFormat="1" ht="18.600000000000001" hidden="1" customHeight="1">
      <c r="A36" s="302"/>
      <c r="B36" s="310" t="str" cm="1">
        <f t="array" ref="B36:B91">IF(kombinace_1!FC2=TRUE,_profily_síťka,IF(kombinace_1!H1=TRUE,_kombinovane_profily,_vše_profily))</f>
        <v>BRW (elox.) - maximum profile length 2500 mm</v>
      </c>
      <c r="L36" s="310" t="str">
        <f t="array" ref="L36:M36">IF(kombinace_1!H1=TRUE,'závěsy dle výklopu'!$BQ$2:$BR$2,
IF(H8=kombinace_1!A34,'závěsy dle výklopu'!$BQ$2,IF(H8=kombinace_1!A35,'závěsy dle výklopu'!$BQ$2,IF(H8=kombinace_1!A55,'závěsy dle výklopu'!$BQ$2,IF(H8=kombinace_1!A56,'závěsy dle výklopu'!$BQ$2,IF(H8=kombinace_1!A57,'závěsy dle výklopu'!$BQ$2,IF(H8=kombinace_1!A58,'závěsy dle výklopu'!$BQ$2,'závěsy dle výklopu'!$BQ$2:$BR$2)))))))</f>
        <v>Hinges</v>
      </c>
      <c r="M36" s="310" t="str">
        <v>Lifts</v>
      </c>
      <c r="P36" s="310" t="str" cm="1">
        <f t="array" ref="P36:P38">IF(H13=kombinace_1!BQ11,kombinace_1!$DN$2,kombinace_1!$DN$2:$DN$4)</f>
        <v>Overlay</v>
      </c>
      <c r="T36" s="310">
        <f t="array" aca="1" ref="T36:T44" ca="1">IF(H13=kombinace_1!BQ11,
  kombinace_1!$FA$2:$FA$9,
  IF(AND(OR(H8=kombinace_1!A34,H8=kombinace_1!A35),H13='závěsy dle výklopu'!BQ4),
    INDIRECT(VLOOKUP(AD42&amp;"_Rocca",kombinace_1!$ER$1:$ES$108,2,0)),
    IF($AU$9=2,
      INDIRECT(VLOOKUP(AD42,kombinace_1!$ER$1:$ES$108,2,0)),
      IF($AU$9=3,
        INDIRECT(VLOOKUP($T$47,kombinace_1!$AA$1:$AB$100,2,0)),
      $Y$48)
    )
  )
)</f>
        <v>0</v>
      </c>
      <c r="AF36" s="310" t="e">
        <f>HLOOKUP($AD$44,'závěsy dle výklopu'!$CG$4:$EZ$10,2,0)</f>
        <v>#N/A</v>
      </c>
      <c r="AJ36" s="310">
        <f t="array" ref="AJ36:AJ40">IF(AM19&lt;2100,kombinace_1!BY8:BY12,kombinace_1!BY8:BY12)</f>
        <v>2</v>
      </c>
      <c r="AW36" s="408"/>
      <c r="AX36" s="408"/>
      <c r="AY36" s="408"/>
    </row>
    <row r="37" spans="1:58" s="310" customFormat="1" ht="15" hidden="1" customHeight="1">
      <c r="A37" s="293"/>
      <c r="B37" s="310" t="str">
        <v>BRW white matt RAL 9003 - maximum profile length 2500 mm</v>
      </c>
      <c r="P37" s="310" t="e">
        <v>#N/A</v>
      </c>
      <c r="T37" s="310">
        <f ca="1"/>
        <v>0</v>
      </c>
      <c r="W37" s="310" t="str" cm="1">
        <f t="array" ref="W37:W38">IF(Hlavní!$V$39=3,"",'Translate&amp;Prices&amp;Logo'!B556:B557)</f>
        <v>Yes</v>
      </c>
      <c r="AD37" s="311"/>
      <c r="AF37" s="310" t="e">
        <f>HLOOKUP($AD$44,'závěsy dle výklopu'!$CG$4:$EZ$10,3,0)</f>
        <v>#N/A</v>
      </c>
      <c r="AJ37" s="310">
        <v>3</v>
      </c>
      <c r="AS37" s="310" t="s">
        <v>5</v>
      </c>
      <c r="AT37" s="310">
        <f>IFERROR((VLOOKUP(H25,'Translate&amp;Prices&amp;Logo'!B99:C167,2,0))*((AI30/1000)*(AR14/1000)),0)</f>
        <v>0</v>
      </c>
      <c r="AW37" s="408"/>
      <c r="AX37" s="408"/>
      <c r="AY37" s="408"/>
    </row>
    <row r="38" spans="1:58" s="310" customFormat="1" ht="18.600000000000001" hidden="1" customHeight="1">
      <c r="A38" s="293"/>
      <c r="B38" s="310" t="str">
        <v>BRW white gloss RAL 9003 - maximum profile length 2500 mm</v>
      </c>
      <c r="L38" s="310" t="str">
        <f t="array" ref="L38:L42">IF($H$12='závěsy dle výklopu'!$BQ$2,IF(OR($H$8='Translate&amp;Prices&amp;Logo'!$B$71,$H$8='Translate&amp;Prices&amp;Logo'!$B$72,$H$8='Translate&amp;Prices&amp;Logo'!$B$73,$H$8='Translate&amp;Prices&amp;Logo'!$B$74),_znacka_zavesy_proROMA,_znacka_zavesy), _znacka_vyklopy)</f>
        <v>Blum</v>
      </c>
      <c r="M38" s="310" t="str">
        <f>L38</f>
        <v>Blum</v>
      </c>
      <c r="P38" s="310" t="e">
        <v>#N/A</v>
      </c>
      <c r="T38" s="310">
        <f ca="1"/>
        <v>0</v>
      </c>
      <c r="W38" s="310" t="str">
        <v>No</v>
      </c>
      <c r="AD38" s="311"/>
      <c r="AE38" s="310" t="e">
        <f t="shared" ref="AE38:AE40" si="0">AF38</f>
        <v>#N/A</v>
      </c>
      <c r="AF38" s="310" t="e">
        <f>HLOOKUP($AD$44,'závěsy dle výklopu'!$CG$4:$EZ$10,4,0)</f>
        <v>#N/A</v>
      </c>
      <c r="AJ38" s="310">
        <v>4</v>
      </c>
      <c r="AW38" s="408"/>
      <c r="AX38" s="408"/>
      <c r="AY38" s="408"/>
    </row>
    <row r="39" spans="1:58" s="310" customFormat="1" ht="15" hidden="1" customHeight="1">
      <c r="A39" s="293"/>
      <c r="B39" s="310" t="str">
        <v>BRW brushed - maximum profile length 2500 mm</v>
      </c>
      <c r="L39" s="310" t="str">
        <v>ITALIANA ferramenta</v>
      </c>
      <c r="T39" s="310">
        <f ca="1"/>
        <v>0</v>
      </c>
      <c r="AD39" s="311"/>
      <c r="AE39" s="310" t="e">
        <f t="shared" si="0"/>
        <v>#N/A</v>
      </c>
      <c r="AF39" s="310" t="e">
        <f>HLOOKUP($AD$44,'závěsy dle výklopu'!$CG$4:$EZ$10,5,0)</f>
        <v>#N/A</v>
      </c>
      <c r="AJ39" s="310">
        <v>5</v>
      </c>
      <c r="AS39" s="310" t="s">
        <v>2162</v>
      </c>
      <c r="AW39" s="408"/>
      <c r="AX39" s="408"/>
      <c r="AY39" s="408"/>
    </row>
    <row r="40" spans="1:58" s="310" customFormat="1" ht="18.600000000000001" hidden="1" customHeight="1">
      <c r="A40" s="293"/>
      <c r="B40" s="310" t="str">
        <v>BRW black matt - maximum profile length 2500 mm</v>
      </c>
      <c r="L40" s="310" t="str">
        <v>StrongLift</v>
      </c>
      <c r="T40" s="310">
        <f ca="1"/>
        <v>0</v>
      </c>
      <c r="AE40" s="310" t="e">
        <f t="shared" si="0"/>
        <v>#N/A</v>
      </c>
      <c r="AF40" s="310" t="e">
        <f>HLOOKUP($AD$44,'závěsy dle výklopu'!$CG$4:$EZ$10,6,0)</f>
        <v>#N/A</v>
      </c>
      <c r="AJ40" s="310">
        <v>6</v>
      </c>
      <c r="AW40" s="408"/>
      <c r="AX40" s="408"/>
      <c r="AY40" s="408"/>
    </row>
    <row r="41" spans="1:58" s="310" customFormat="1" ht="15" hidden="1" customHeight="1">
      <c r="A41" s="293"/>
      <c r="B41" s="310" t="str">
        <v>BRW black brushed - maximum profile length 2500 mm</v>
      </c>
      <c r="L41" s="310" t="str">
        <v xml:space="preserve">Kesseböhmer </v>
      </c>
      <c r="T41" s="310">
        <f ca="1"/>
        <v>0</v>
      </c>
      <c r="U41" s="310">
        <f>IF(Hlavní!$V$39=3,1,2)</f>
        <v>2</v>
      </c>
      <c r="AE41" s="310">
        <f>AF41</f>
        <v>0</v>
      </c>
      <c r="AH41" s="434"/>
      <c r="AI41" s="435" t="s">
        <v>4588</v>
      </c>
      <c r="AJ41" s="435" t="s">
        <v>4589</v>
      </c>
      <c r="AS41" s="310" t="s">
        <v>2163</v>
      </c>
      <c r="AW41" s="408"/>
      <c r="AX41" s="408"/>
      <c r="AY41" s="408"/>
    </row>
    <row r="42" spans="1:58" s="310" customFormat="1" ht="18.600000000000001" hidden="1" customHeight="1">
      <c r="A42" s="293"/>
      <c r="B42" s="310" t="str">
        <v>BRW Light Stainless Steel (ACIER GRATA) - maximum profile length 2500 mm</v>
      </c>
      <c r="L42" s="310" t="str">
        <v>Hettich</v>
      </c>
      <c r="T42" s="310">
        <f ca="1"/>
        <v>0</v>
      </c>
      <c r="AD42" s="310" t="e">
        <f>CONCATENATE("_",AV7,"_",H13,"_",AA29)</f>
        <v>#N/A</v>
      </c>
      <c r="AG42" s="433">
        <v>42</v>
      </c>
      <c r="AH42" s="434"/>
      <c r="AI42" s="436"/>
      <c r="AJ42" s="436"/>
      <c r="AW42" s="408"/>
      <c r="AX42" s="408"/>
      <c r="AY42" s="408"/>
    </row>
    <row r="43" spans="1:58" s="310" customFormat="1" ht="15" hidden="1" customHeight="1">
      <c r="A43" s="293"/>
      <c r="B43" s="310" t="str">
        <v>BRW anthracite RAL 7021 - maximum profile length 2500 mm</v>
      </c>
      <c r="T43" s="310">
        <f ca="1"/>
        <v>0</v>
      </c>
      <c r="AG43" s="433">
        <v>43</v>
      </c>
      <c r="AH43" s="434"/>
      <c r="AI43" s="437">
        <f>IF(H12='Translate&amp;Prices&amp;Logo'!B181,VLOOKUP(H8,'Translate&amp;Prices&amp;Logo'!B:V,21,0),AJ43)</f>
        <v>0</v>
      </c>
      <c r="AJ43" s="437">
        <f>VLOOKUP(H8,'Translate&amp;Prices&amp;Logo'!B:U,20,0)</f>
        <v>0</v>
      </c>
      <c r="AK43" s="310" t="s">
        <v>4587</v>
      </c>
      <c r="AS43" s="310" t="s">
        <v>2164</v>
      </c>
      <c r="AT43" s="310">
        <f>H28</f>
        <v>0</v>
      </c>
      <c r="AW43" s="408"/>
      <c r="AX43" s="408"/>
      <c r="AY43" s="408"/>
    </row>
    <row r="44" spans="1:58" s="310" customFormat="1" ht="18.600000000000001" hidden="1" customHeight="1">
      <c r="A44" s="293"/>
      <c r="B44" s="310" t="str">
        <v>BRW champagne - maximum profile length 2500 mm</v>
      </c>
      <c r="M44" s="310" t="s">
        <v>3532</v>
      </c>
      <c r="N44" s="310" t="s">
        <v>1981</v>
      </c>
      <c r="T44" s="310">
        <f ca="1"/>
        <v>0</v>
      </c>
      <c r="AD44" s="310" t="e">
        <f>CONCATENATE("_",AV7,"_",H15)</f>
        <v>#N/A</v>
      </c>
      <c r="AG44" s="433">
        <v>44</v>
      </c>
      <c r="AH44" s="434"/>
      <c r="AI44" s="438"/>
      <c r="AJ44" s="438"/>
      <c r="AW44" s="408"/>
      <c r="AX44" s="408"/>
      <c r="AY44" s="408"/>
    </row>
    <row r="45" spans="1:58" s="310" customFormat="1" ht="14.85" hidden="1" customHeight="1">
      <c r="A45" s="293"/>
      <c r="B45" s="310" t="str">
        <v>BRW champagne light - maximum profile length 2500 mm</v>
      </c>
      <c r="M45" s="310" t="s">
        <v>3533</v>
      </c>
      <c r="N45" s="310" t="s">
        <v>1981</v>
      </c>
      <c r="AS45" s="286"/>
      <c r="AW45" s="408"/>
      <c r="AX45" s="408"/>
      <c r="AY45" s="408"/>
    </row>
    <row r="46" spans="1:58" s="310" customFormat="1" ht="14.85" hidden="1" customHeight="1">
      <c r="A46" s="293"/>
      <c r="B46" s="310" t="str">
        <v>BRW brown - maximum profile length 2500 mm</v>
      </c>
      <c r="M46" s="310" t="s">
        <v>5434</v>
      </c>
    </row>
    <row r="47" spans="1:58" s="310" customFormat="1" ht="14.85" hidden="1" customHeight="1">
      <c r="A47" s="293"/>
      <c r="B47" s="310" t="str">
        <v>BRW dark stainless steel - maximum profile length 2500 mm</v>
      </c>
      <c r="M47" s="310" t="s">
        <v>5435</v>
      </c>
      <c r="T47" s="310" t="str">
        <f>CONCATENATE(H13,"_",VLOOKUP(kombinace_1!H1,kombinace_1!$J$14:$K$15,2,0))</f>
        <v>_2</v>
      </c>
      <c r="AD47" s="310" t="s">
        <v>5433</v>
      </c>
      <c r="AI47" s="264"/>
      <c r="AJ47" s="430"/>
      <c r="AN47" s="595"/>
      <c r="AO47" s="595"/>
      <c r="AP47" s="595"/>
      <c r="AQ47" s="595"/>
    </row>
    <row r="48" spans="1:58" s="310" customFormat="1" ht="14.85" hidden="1" customHeight="1">
      <c r="A48" s="293"/>
      <c r="B48" s="310" t="str">
        <v>BRW gold - maximum profile length 2500 mm</v>
      </c>
      <c r="T48" s="310" t="e">
        <f>VLOOKUP(AD42,kombinace_1!ER:ES,2,0)</f>
        <v>#N/A</v>
      </c>
      <c r="AS48"/>
      <c r="AT48"/>
    </row>
    <row r="49" spans="1:46" s="310" customFormat="1" ht="14.85" hidden="1" customHeight="1">
      <c r="A49" s="293"/>
      <c r="B49" s="310" t="str">
        <v>BRW arany csiszolt - maximum profile length 2500 mm</v>
      </c>
      <c r="AS49"/>
      <c r="AT49"/>
    </row>
    <row r="50" spans="1:46" s="310" customFormat="1" ht="14.85" hidden="1" customHeight="1">
      <c r="A50" s="293"/>
      <c r="B50" s="310" t="str">
        <v>Corleone (elox.) - maximum profile length 1500 mm</v>
      </c>
      <c r="AS50"/>
      <c r="AT50"/>
    </row>
    <row r="51" spans="1:46" s="310" customFormat="1" ht="14.85" hidden="1" customHeight="1">
      <c r="A51" s="293"/>
      <c r="B51" s="310" t="str">
        <v>Corleone black matt - maximum profile length 1500 mm</v>
      </c>
      <c r="AS51"/>
      <c r="AT51"/>
    </row>
    <row r="52" spans="1:46" s="310" customFormat="1" ht="14.85" hidden="1" customHeight="1">
      <c r="A52" s="293"/>
      <c r="B52" s="310" t="str">
        <v>ASTI black matt - maximum profile length 2150 mm</v>
      </c>
      <c r="AS52"/>
      <c r="AT52"/>
    </row>
    <row r="53" spans="1:46" s="310" customFormat="1" ht="14.85" hidden="1" customHeight="1">
      <c r="A53" s="293"/>
      <c r="B53" s="310" t="str">
        <v>ASTI anthracite RAL 7021 matt - maximum profile length 2500 mm</v>
      </c>
      <c r="AS53"/>
      <c r="AT53"/>
    </row>
    <row r="54" spans="1:46" s="310" customFormat="1" ht="14.85" hidden="1" customHeight="1">
      <c r="A54" s="293"/>
      <c r="B54" s="310" t="str">
        <v>Imola (elox.) - maximum profile length 2500 mm</v>
      </c>
      <c r="K54" s="310" t="str">
        <f t="array" ref="K54:K58">IF(OR($H$15=kombinace_1!AB40,$H$15=kombinace_1!AB7,$H$15=kombinace_1!AB15,$H$15=kombinace_1!AB20,$H$15=kombinace_1!AB21,$H$15=kombinace_1!AB22),'Translate&amp;Prices&amp;Logo'!$B$229:$B$231,IF($H$15=kombinace_1!AB41,'Translate&amp;Prices&amp;Logo'!$B$229:$B$231,'Translate&amp;Prices&amp;Logo'!$B$233:$B$237))</f>
        <v>Narrow ALU Frame</v>
      </c>
      <c r="Q54" s="310" t="str">
        <f>'Translate&amp;Prices&amp;Logo'!B227</f>
        <v>Top</v>
      </c>
      <c r="T54" s="310" t="str">
        <f t="array" ref="T54:T56">kombinace_1!$EN$3:$EN$5</f>
        <v>Not treated</v>
      </c>
      <c r="U54" s="310">
        <v>1</v>
      </c>
      <c r="X54" s="310" t="str">
        <f t="array" ref="X54:X56">kombinace_1!$X$3:$X$5</f>
        <v>Transparent</v>
      </c>
      <c r="AD54" s="310" t="e">
        <f t="array" aca="1" ref="AD54:AD97" ca="1">IF(kombinace_1!FC2=FALSE,
IF(OR(H8=kombinace_1!A17,H8=kombinace_1!A18,H8=kombinace_1!A25,H8=kombinace_1!A26,H8=kombinace_1!A27,H8=kombinace_1!A28),_corleone,INDIRECT(kombinace_1!S1)),
IF(kombinace_1!FC2=TRUE,INDIRECT(VLOOKUP(Ram_1!H8,'závěsy dle výklopu'!A81:B92,2,0)),0))</f>
        <v>#N/A</v>
      </c>
      <c r="AS54"/>
      <c r="AT54"/>
    </row>
    <row r="55" spans="1:46" s="310" customFormat="1" ht="14.85" hidden="1" customHeight="1">
      <c r="A55" s="293"/>
      <c r="B55" s="310" t="str">
        <v>Imola black matt - maximum profile length 2500 mm</v>
      </c>
      <c r="K55" s="310" t="str">
        <v>Wide ALU Frame</v>
      </c>
      <c r="Q55" s="310" t="str">
        <f>'Translate&amp;Prices&amp;Logo'!B228</f>
        <v>Bottom</v>
      </c>
      <c r="T55" s="310" t="str">
        <v>Harded (delivery is 4 weeks)</v>
      </c>
      <c r="U55" s="310">
        <v>2</v>
      </c>
      <c r="X55" s="310" t="str">
        <v>White</v>
      </c>
      <c r="AD55" s="310" t="e">
        <f ca="1"/>
        <v>#N/A</v>
      </c>
      <c r="AS55"/>
      <c r="AT55"/>
    </row>
    <row r="56" spans="1:46" s="310" customFormat="1" ht="14.85" hidden="1" customHeight="1">
      <c r="A56" s="293"/>
      <c r="B56" s="310" t="str">
        <v>Imola white matt RAL 9003 - maximum profile length 2500 mm</v>
      </c>
      <c r="K56" s="310" t="str">
        <v xml:space="preserve">MDF 16 mm </v>
      </c>
      <c r="Q56" s="310" t="str">
        <f>'Translate&amp;Prices&amp;Logo'!B229</f>
        <v>Right</v>
      </c>
      <c r="T56" s="310" t="str">
        <v>Foil</v>
      </c>
      <c r="U56" s="310">
        <v>3</v>
      </c>
      <c r="X56" s="310" t="str">
        <v>Black</v>
      </c>
      <c r="AD56" s="310" t="e">
        <f ca="1"/>
        <v>#N/A</v>
      </c>
    </row>
    <row r="57" spans="1:46" s="310" customFormat="1" ht="14.85" hidden="1" customHeight="1">
      <c r="A57" s="293"/>
      <c r="B57" s="310" t="str">
        <v>Imola gold - maximum profile length 2150 mm</v>
      </c>
      <c r="K57" s="310" t="str">
        <v xml:space="preserve">MDF 18 mm </v>
      </c>
      <c r="Q57" s="310" t="str">
        <f>'Translate&amp;Prices&amp;Logo'!B230</f>
        <v>Left</v>
      </c>
      <c r="AD57" s="310" t="e">
        <f ca="1"/>
        <v>#N/A</v>
      </c>
    </row>
    <row r="58" spans="1:46" s="310" customFormat="1" ht="14.85" hidden="1" customHeight="1">
      <c r="A58" s="293"/>
      <c r="B58" s="310" t="str">
        <v>Modena (elox.) - maximum profile length 2500 mm</v>
      </c>
      <c r="K58" s="310" t="str">
        <v>DTDL 18 mm</v>
      </c>
      <c r="AD58" s="310" t="e">
        <f ca="1"/>
        <v>#N/A</v>
      </c>
    </row>
    <row r="59" spans="1:46" s="310" customFormat="1" ht="14.85" hidden="1" customHeight="1">
      <c r="A59" s="293"/>
      <c r="B59" s="310" t="str">
        <v>Modena black matt - maximum profile length 2500 mm</v>
      </c>
      <c r="T59" s="310">
        <f>IFERROR(VLOOKUP($H$21,$T$54:$U$56,2,0),0)</f>
        <v>0</v>
      </c>
      <c r="AD59" s="310" t="e">
        <f ca="1"/>
        <v>#N/A</v>
      </c>
    </row>
    <row r="60" spans="1:46" s="310" customFormat="1" ht="14.85" hidden="1" customHeight="1">
      <c r="A60" s="293"/>
      <c r="B60" s="310" t="str">
        <v>black black brushed - maximum profile length 2500 mm</v>
      </c>
      <c r="K60" s="310" t="b">
        <f>K56=K61</f>
        <v>0</v>
      </c>
      <c r="AD60" s="310" t="e">
        <f ca="1"/>
        <v>#N/A</v>
      </c>
    </row>
    <row r="61" spans="1:46" s="310" customFormat="1" ht="14.85" hidden="1" customHeight="1">
      <c r="A61" s="293"/>
      <c r="B61" s="310" t="str">
        <v>Modena dark stainless steel brushed - maximum profile length 2500 mm</v>
      </c>
      <c r="H61" s="310" t="str">
        <f>'Translate&amp;Prices&amp;Logo'!$B$186</f>
        <v>Bottom door</v>
      </c>
      <c r="K61" s="310" t="str">
        <f>'Translate&amp;Prices&amp;Logo'!$B$231</f>
        <v>2 Pieces (both sides)</v>
      </c>
      <c r="AD61" s="310" t="e">
        <f ca="1"/>
        <v>#N/A</v>
      </c>
    </row>
    <row r="62" spans="1:46" s="310" customFormat="1" ht="14.85" hidden="1" customHeight="1">
      <c r="A62" s="293"/>
      <c r="B62" s="310" t="str">
        <v>Pisa (elox.) - maximum profile length 2500 mm</v>
      </c>
      <c r="AD62" s="310" t="e">
        <f ca="1"/>
        <v>#N/A</v>
      </c>
    </row>
    <row r="63" spans="1:46" s="310" customFormat="1" ht="14.85" hidden="1" customHeight="1">
      <c r="A63" s="293"/>
      <c r="B63" s="310" t="str">
        <v>Pisa white matt RAL 9003 - maximum profile length 2500 mm</v>
      </c>
      <c r="AD63" s="310" t="e">
        <f ca="1"/>
        <v>#N/A</v>
      </c>
    </row>
    <row r="64" spans="1:46" s="310" customFormat="1" ht="14.85" hidden="1" customHeight="1">
      <c r="A64" s="293"/>
      <c r="B64" s="310" t="str">
        <v>Pisa white gloss RAL 9003 - maximum profile length 2500 mm</v>
      </c>
      <c r="AD64" s="310" t="e">
        <f ca="1"/>
        <v>#N/A</v>
      </c>
    </row>
    <row r="65" spans="1:30" s="310" customFormat="1" ht="14.85" hidden="1" customHeight="1">
      <c r="A65" s="293"/>
      <c r="B65" s="310" t="str">
        <v>Pisa black matt - maximum profile length 2500 mm</v>
      </c>
      <c r="H65" s="167" t="str">
        <f>'rozpad závěsů bez prázdn. řádků'!$K$1</f>
        <v>cross screw</v>
      </c>
      <c r="I65" s="312">
        <v>6</v>
      </c>
      <c r="J65" s="166" t="e">
        <f>VLOOKUP($H$15,'rozpad závěsů bez prázdn. řádků'!$G$2:$X$66,I65,0)</f>
        <v>#N/A</v>
      </c>
      <c r="O65" s="310" t="str">
        <f t="array" ref="O65:O71">IF($H$15=kombinace_1!$AB$40,_strong_vzpera_horni,IF($H$15=kombinace_1!$AB$41,_stronglift_klopna,IF($H$12='závěsy dle výklopu'!$BQ$2,$J$65:$J$71,'Translate&amp;Prices&amp;Logo'!$B$185:$B$186)))</f>
        <v>Top door</v>
      </c>
      <c r="AD65" s="310" t="e">
        <f ca="1"/>
        <v>#N/A</v>
      </c>
    </row>
    <row r="66" spans="1:30" s="310" customFormat="1" ht="14.85" hidden="1" customHeight="1">
      <c r="A66" s="293"/>
      <c r="B66" s="310" t="str">
        <v>Pisa gold - maximum profile length 2150 mm</v>
      </c>
      <c r="H66" s="167" t="str">
        <f>'rozpad závěsů bez prázdn. řádků'!$M$1</f>
        <v>on screw (w/ cam adjust)</v>
      </c>
      <c r="I66" s="312">
        <v>8</v>
      </c>
      <c r="J66" s="166" t="e">
        <f>VLOOKUP($H$15,'rozpad závěsů bez prázdn. řádků'!$G$2:$X$66,I66,0)</f>
        <v>#N/A</v>
      </c>
      <c r="O66" s="310" t="str">
        <v>Bottom door</v>
      </c>
      <c r="AD66" s="310" t="e">
        <f ca="1"/>
        <v>#N/A</v>
      </c>
    </row>
    <row r="67" spans="1:30" s="310" customFormat="1" ht="14.85" hidden="1" customHeight="1">
      <c r="A67" s="293"/>
      <c r="B67" s="310" t="str">
        <v>Rocca (elox.) - maximum profile length 2150 mm</v>
      </c>
      <c r="H67" s="167" t="str">
        <f>'rozpad závěsů bez prázdn. řádků'!$O$1</f>
        <v>euroscrew</v>
      </c>
      <c r="I67" s="312">
        <v>10</v>
      </c>
      <c r="J67" s="166" t="e">
        <f>VLOOKUP($H$15,'rozpad závěsů bez prázdn. řádků'!$G$2:$X$66,I67,0)</f>
        <v>#N/A</v>
      </c>
      <c r="O67" s="310" t="e">
        <v>#N/A</v>
      </c>
      <c r="AD67" s="310" t="e">
        <f ca="1"/>
        <v>#N/A</v>
      </c>
    </row>
    <row r="68" spans="1:30" s="310" customFormat="1" ht="14.85" hidden="1" customHeight="1">
      <c r="A68" s="293"/>
      <c r="B68" s="310" t="str">
        <v>Rocca black matt - maximum profile length 2150 mm</v>
      </c>
      <c r="H68" s="167" t="str">
        <f>'rozpad závěsů bez prázdn. řádků'!$Q$1</f>
        <v>expando</v>
      </c>
      <c r="I68" s="312">
        <v>12</v>
      </c>
      <c r="J68" s="166" t="e">
        <f>VLOOKUP($H$15,'rozpad závěsů bez prázdn. řádků'!$G$2:$X$66,I68,0)</f>
        <v>#N/A</v>
      </c>
      <c r="O68" s="310" t="e">
        <v>#N/A</v>
      </c>
      <c r="AD68" s="310" t="e">
        <f ca="1"/>
        <v>#N/A</v>
      </c>
    </row>
    <row r="69" spans="1:30" s="310" customFormat="1" ht="14.85" hidden="1" customHeight="1">
      <c r="A69" s="293"/>
      <c r="B69" s="310" t="str">
        <v>Verona (elox.) - maximum profile length 2500 mm</v>
      </c>
      <c r="H69" s="167" t="str">
        <f>'rozpad závěsů bez prázdn. řádků'!$S$1</f>
        <v>direct screw</v>
      </c>
      <c r="I69" s="312">
        <v>14</v>
      </c>
      <c r="J69" s="166" t="e">
        <f>VLOOKUP($H$15,'rozpad závěsů bez prázdn. řádků'!$G$2:$X$66,I69,0)</f>
        <v>#N/A</v>
      </c>
      <c r="O69" s="310" t="e">
        <v>#N/A</v>
      </c>
      <c r="AD69" s="310" t="e">
        <f ca="1"/>
        <v>#N/A</v>
      </c>
    </row>
    <row r="70" spans="1:30" s="310" customFormat="1" ht="14.85" hidden="1" customHeight="1">
      <c r="A70" s="293"/>
      <c r="B70" s="310" t="str">
        <v>Verona brushed aluminium - maximum profile length 2500 mm</v>
      </c>
      <c r="H70" s="167" t="str">
        <f>'rozpad závěsů bez prázdn. řádků'!$U$1</f>
        <v>direct euroscrew</v>
      </c>
      <c r="I70" s="312">
        <v>16</v>
      </c>
      <c r="J70" s="166" t="e">
        <f>VLOOKUP($H$15,'rozpad závěsů bez prázdn. řádků'!$G$2:$X$66,I70,0)</f>
        <v>#N/A</v>
      </c>
      <c r="O70" s="310" t="e">
        <v>#N/A</v>
      </c>
      <c r="AD70" s="310" t="e">
        <f ca="1"/>
        <v>#N/A</v>
      </c>
    </row>
    <row r="71" spans="1:30" s="310" customFormat="1" ht="14.85" hidden="1" customHeight="1">
      <c r="A71" s="293"/>
      <c r="B71" s="310" t="str">
        <v>Verona black matt - maximum profile length 2500 mm</v>
      </c>
      <c r="H71" s="167" t="str">
        <f>'rozpad závěsů bez prázdn. řádků'!$W$1</f>
        <v>direct expando</v>
      </c>
      <c r="I71" s="312">
        <v>18</v>
      </c>
      <c r="J71" s="166" t="e">
        <f>VLOOKUP($H$15,'rozpad závěsů bez prázdn. řádků'!$G$2:$X$66,I71,0)</f>
        <v>#N/A</v>
      </c>
      <c r="O71" s="310" t="e">
        <v>#N/A</v>
      </c>
      <c r="AD71" s="310" t="e">
        <f ca="1"/>
        <v>#N/A</v>
      </c>
    </row>
    <row r="72" spans="1:30" s="310" customFormat="1" ht="14.85" hidden="1" customHeight="1">
      <c r="A72" s="293"/>
      <c r="B72" s="310" t="str">
        <v>Verona black gloss - maximum profile length 2500 mm</v>
      </c>
      <c r="AD72" s="310" t="e">
        <f ca="1"/>
        <v>#N/A</v>
      </c>
    </row>
    <row r="73" spans="1:30" s="310" customFormat="1" ht="14.85" hidden="1" customHeight="1">
      <c r="A73" s="293"/>
      <c r="B73" s="310" t="str">
        <v>Verona brown - maximum profile length 2500 mm</v>
      </c>
      <c r="AD73" s="310" t="e">
        <f ca="1"/>
        <v>#N/A</v>
      </c>
    </row>
    <row r="74" spans="1:30" s="310" customFormat="1" ht="14.85" hidden="1" customHeight="1">
      <c r="A74" s="293"/>
      <c r="B74" s="310" t="str">
        <v>Verona champagne - maximum profile length 2500 mm</v>
      </c>
      <c r="AD74" s="310" t="e">
        <f ca="1"/>
        <v>#N/A</v>
      </c>
    </row>
    <row r="75" spans="1:30" s="310" customFormat="1" ht="14.85" hidden="1" customHeight="1">
      <c r="A75" s="293"/>
      <c r="B75" s="310" t="str">
        <v>Verona dark stainless steel brushed - maximum profile length 2500 mm</v>
      </c>
      <c r="AD75" s="310" t="e">
        <f ca="1"/>
        <v>#N/A</v>
      </c>
    </row>
    <row r="76" spans="1:30" s="310" customFormat="1" ht="14.85" hidden="1" customHeight="1">
      <c r="A76" s="293"/>
      <c r="B76" s="310" t="str">
        <v>Verona light stainless steel (Acier grata) - maximum profile length 2500 mm</v>
      </c>
      <c r="AD76" s="310" t="e">
        <f ca="1"/>
        <v>#N/A</v>
      </c>
    </row>
    <row r="77" spans="1:30" s="310" customFormat="1" ht="14.85" hidden="1" customHeight="1">
      <c r="A77" s="293"/>
      <c r="B77" s="310" t="str">
        <v>Verona gold - maximum profile length 2150 mm</v>
      </c>
      <c r="AD77" s="310" t="e">
        <f ca="1"/>
        <v>#N/A</v>
      </c>
    </row>
    <row r="78" spans="1:30" s="310" customFormat="1" ht="14.85" hidden="1" customHeight="1">
      <c r="A78" s="293"/>
      <c r="B78" s="310" t="str">
        <v>Verona gold brushed - maximum profile length 2150 mm</v>
      </c>
      <c r="AD78" s="310" t="e">
        <f ca="1"/>
        <v>#N/A</v>
      </c>
    </row>
    <row r="79" spans="1:30" s="310" customFormat="1" ht="14.85" hidden="1" customHeight="1">
      <c r="A79" s="293"/>
      <c r="B79" s="310" t="str">
        <v>Vivaro (elox.) - maximum profile length 2500 mm</v>
      </c>
      <c r="AD79" s="310" t="e">
        <f ca="1"/>
        <v>#N/A</v>
      </c>
    </row>
    <row r="80" spans="1:30" s="310" customFormat="1" ht="14.85" hidden="1" customHeight="1">
      <c r="A80" s="293"/>
      <c r="B80" s="310" t="str">
        <v>Vivaro black matt - maximum profile length 2500 mm</v>
      </c>
      <c r="AD80" s="310" t="e">
        <f ca="1"/>
        <v>#N/A</v>
      </c>
    </row>
    <row r="81" spans="1:38" s="310" customFormat="1" ht="14.85" hidden="1" customHeight="1">
      <c r="A81" s="293"/>
      <c r="B81" s="310" t="str">
        <v>Vivaro dark stainless steel - maximum profile length 2500 mm</v>
      </c>
      <c r="AD81" s="310" t="e">
        <f ca="1"/>
        <v>#N/A</v>
      </c>
    </row>
    <row r="82" spans="1:38" s="310" customFormat="1" ht="14.85" hidden="1" customHeight="1">
      <c r="A82" s="293"/>
      <c r="B82" s="310" t="str">
        <v>Vivaro white matt RAL 9003 - maximum profile length 2500 mm</v>
      </c>
      <c r="P82" s="310" t="str" cm="1">
        <f t="array" ref="P82:P83">IF(OR(H8=kombinace_1!F14,H8=kombinace_1!F15,H8=kombinace_1!F16,H8=kombinace_1!F17,H8=kombinace_1!F18,H8=kombinace_1!F19,H8=kombinace_1!A55,H8=kombinace_1!A56,H8=kombinace_1!A57,H8=kombinace_1!A58),Q56:Q57,IF(H15=kombinace_1!AB8,_ramena_HL,Q54:Q57))</f>
        <v>Right</v>
      </c>
      <c r="AD82" s="310" t="e">
        <f ca="1"/>
        <v>#N/A</v>
      </c>
    </row>
    <row r="83" spans="1:38" ht="14.85" hidden="1" customHeight="1">
      <c r="B83" s="291" t="str">
        <v>Vivaro white gloss RAL 9003 - maximum profile length 2500 mm</v>
      </c>
      <c r="C83" s="293"/>
      <c r="D83" s="293"/>
      <c r="E83" s="293"/>
      <c r="F83" s="293"/>
      <c r="G83" s="293"/>
      <c r="H83" s="293"/>
      <c r="I83" s="293"/>
      <c r="J83" s="293"/>
      <c r="K83" s="293"/>
      <c r="L83" s="293"/>
      <c r="M83" s="293"/>
      <c r="N83" s="293"/>
      <c r="O83" s="291"/>
      <c r="P83" s="293" t="str">
        <v>Left</v>
      </c>
      <c r="Q83" s="293"/>
      <c r="R83" s="293"/>
      <c r="S83" s="293"/>
      <c r="T83" s="302"/>
      <c r="U83" s="302"/>
      <c r="V83" s="302"/>
      <c r="W83" s="302"/>
      <c r="X83" s="302"/>
      <c r="Y83" s="303"/>
      <c r="Z83" s="303"/>
      <c r="AA83" s="303"/>
      <c r="AB83" s="303"/>
      <c r="AC83" s="301"/>
      <c r="AD83" s="301" t="e">
        <f ca="1"/>
        <v>#N/A</v>
      </c>
      <c r="AE83" s="301"/>
      <c r="AF83" s="301"/>
      <c r="AG83" s="301"/>
      <c r="AH83" s="301"/>
      <c r="AI83" s="303"/>
      <c r="AJ83" s="303"/>
      <c r="AK83" s="303"/>
      <c r="AL83" s="303"/>
    </row>
    <row r="84" spans="1:38" ht="14.85" hidden="1" customHeight="1">
      <c r="B84" s="291" t="str">
        <v>Vivaro gold - maximum profile length 2150 mm</v>
      </c>
      <c r="C84" s="293"/>
      <c r="D84" s="293"/>
      <c r="E84" s="293"/>
      <c r="F84" s="293"/>
      <c r="G84" s="293"/>
      <c r="H84" s="293"/>
      <c r="I84" s="293"/>
      <c r="J84" s="293"/>
      <c r="K84" s="293"/>
      <c r="L84" s="293"/>
      <c r="M84" s="293"/>
      <c r="N84" s="293"/>
      <c r="O84" s="291"/>
      <c r="P84" s="293"/>
      <c r="Q84" s="293"/>
      <c r="R84" s="293"/>
      <c r="S84" s="293"/>
      <c r="T84" s="302"/>
      <c r="U84" s="302"/>
      <c r="V84" s="302"/>
      <c r="W84" s="302"/>
      <c r="X84" s="302"/>
      <c r="Y84" s="303"/>
      <c r="Z84" s="303"/>
      <c r="AA84" s="303"/>
      <c r="AB84" s="303"/>
      <c r="AC84" s="301"/>
      <c r="AD84" s="301" t="e">
        <f ca="1"/>
        <v>#N/A</v>
      </c>
      <c r="AE84" s="301"/>
      <c r="AF84" s="301"/>
      <c r="AG84" s="301"/>
      <c r="AH84" s="301"/>
      <c r="AI84" s="303"/>
      <c r="AJ84" s="303"/>
      <c r="AK84" s="303"/>
      <c r="AL84" s="303"/>
    </row>
    <row r="85" spans="1:38" ht="14.85" hidden="1" customHeight="1">
      <c r="B85" s="291" t="str">
        <v>Vivaro gold brushed - maximum profile length 2150 mm</v>
      </c>
      <c r="C85" s="293"/>
      <c r="D85" s="293"/>
      <c r="E85" s="293"/>
      <c r="F85" s="293"/>
      <c r="G85" s="293"/>
      <c r="H85" s="293"/>
      <c r="I85" s="293"/>
      <c r="J85" s="293"/>
      <c r="K85" s="293"/>
      <c r="L85" s="293"/>
      <c r="M85" s="293"/>
      <c r="N85" s="293"/>
      <c r="O85" s="293"/>
      <c r="P85" s="293"/>
      <c r="Q85" s="293"/>
      <c r="R85" s="293"/>
      <c r="S85" s="293"/>
      <c r="T85" s="302"/>
      <c r="U85" s="302"/>
      <c r="V85" s="302"/>
      <c r="W85" s="302"/>
      <c r="X85" s="302"/>
      <c r="Y85" s="303"/>
      <c r="Z85" s="303"/>
      <c r="AA85" s="303"/>
      <c r="AB85" s="303"/>
      <c r="AC85" s="301"/>
      <c r="AD85" s="301" t="e">
        <f ca="1"/>
        <v>#N/A</v>
      </c>
      <c r="AE85" s="301"/>
      <c r="AF85" s="301"/>
      <c r="AG85" s="301"/>
      <c r="AH85" s="301"/>
      <c r="AI85" s="303"/>
      <c r="AJ85" s="303"/>
      <c r="AK85" s="303"/>
      <c r="AL85" s="303"/>
    </row>
    <row r="86" spans="1:38" ht="14.85" hidden="1" customHeight="1">
      <c r="B86" s="291" t="str">
        <v>Rocca elox (Left and Right) + Varna elox (Top and Bottom)</v>
      </c>
      <c r="C86" s="293"/>
      <c r="D86" s="293"/>
      <c r="E86" s="293"/>
      <c r="F86" s="293"/>
      <c r="G86" s="293"/>
      <c r="H86" s="293"/>
      <c r="I86" s="293"/>
      <c r="J86" s="293"/>
      <c r="K86" s="293"/>
      <c r="L86" s="293"/>
      <c r="M86" s="293"/>
      <c r="N86" s="293"/>
      <c r="O86" s="293"/>
      <c r="P86" s="293"/>
      <c r="Q86" s="293"/>
      <c r="R86" s="293"/>
      <c r="S86" s="293"/>
      <c r="T86" s="302"/>
      <c r="U86" s="302"/>
      <c r="V86" s="302"/>
      <c r="W86" s="302"/>
      <c r="X86" s="302"/>
      <c r="Y86" s="303"/>
      <c r="Z86" s="303"/>
      <c r="AA86" s="303"/>
      <c r="AB86" s="303"/>
      <c r="AC86" s="301"/>
      <c r="AD86" s="301" t="e">
        <f ca="1"/>
        <v>#N/A</v>
      </c>
      <c r="AE86" s="301"/>
      <c r="AF86" s="301"/>
      <c r="AG86" s="301"/>
      <c r="AH86" s="301"/>
      <c r="AI86" s="303"/>
      <c r="AJ86" s="303"/>
      <c r="AK86" s="303"/>
      <c r="AL86" s="303"/>
    </row>
    <row r="87" spans="1:38" ht="14.85" hidden="1" customHeight="1">
      <c r="B87" s="291" t="str">
        <v>Rocca black (Left and right) + Varna black (Top and bottom)</v>
      </c>
      <c r="C87" s="293"/>
      <c r="D87" s="293"/>
      <c r="E87" s="293"/>
      <c r="F87" s="293"/>
      <c r="G87" s="293"/>
      <c r="H87" s="293"/>
      <c r="I87" s="293"/>
      <c r="J87" s="293"/>
      <c r="K87" s="293"/>
      <c r="L87" s="293"/>
      <c r="M87" s="293"/>
      <c r="N87" s="293"/>
      <c r="O87" s="293"/>
      <c r="P87" s="293"/>
      <c r="Q87" s="293"/>
      <c r="R87" s="293"/>
      <c r="S87" s="293"/>
      <c r="T87" s="302"/>
      <c r="U87" s="302"/>
      <c r="V87" s="302"/>
      <c r="W87" s="302"/>
      <c r="X87" s="302"/>
      <c r="Y87" s="303"/>
      <c r="Z87" s="303"/>
      <c r="AA87" s="303"/>
      <c r="AB87" s="303"/>
      <c r="AC87" s="301"/>
      <c r="AD87" s="301" t="e">
        <f ca="1"/>
        <v>#N/A</v>
      </c>
      <c r="AE87" s="301"/>
      <c r="AF87" s="301"/>
      <c r="AG87" s="301"/>
      <c r="AH87" s="301"/>
      <c r="AI87" s="303"/>
      <c r="AJ87" s="303"/>
      <c r="AK87" s="303"/>
      <c r="AL87" s="303"/>
    </row>
    <row r="88" spans="1:38" ht="14.85" hidden="1" customHeight="1">
      <c r="B88" s="291" t="str">
        <v>ROMA black matt  - maximum profile length 2696 mm</v>
      </c>
      <c r="C88" s="293"/>
      <c r="D88" s="293"/>
      <c r="E88" s="293"/>
      <c r="F88" s="293"/>
      <c r="G88" s="293"/>
      <c r="H88" s="293"/>
      <c r="I88" s="293"/>
      <c r="J88" s="293"/>
      <c r="K88" s="293"/>
      <c r="L88" s="293"/>
      <c r="M88" s="293"/>
      <c r="N88" s="293"/>
      <c r="O88" s="293"/>
      <c r="P88" s="293"/>
      <c r="Q88" s="293"/>
      <c r="R88" s="293"/>
      <c r="S88" s="293"/>
      <c r="T88" s="302"/>
      <c r="U88" s="302"/>
      <c r="V88" s="302"/>
      <c r="W88" s="302"/>
      <c r="X88" s="302"/>
      <c r="Y88" s="303"/>
      <c r="Z88" s="303"/>
      <c r="AA88" s="303"/>
      <c r="AB88" s="303"/>
      <c r="AC88" s="301"/>
      <c r="AD88" s="301" t="e">
        <f ca="1"/>
        <v>#N/A</v>
      </c>
      <c r="AE88" s="301"/>
      <c r="AF88" s="301"/>
      <c r="AG88" s="301"/>
      <c r="AH88" s="301"/>
      <c r="AI88" s="303"/>
      <c r="AJ88" s="303"/>
      <c r="AK88" s="303"/>
      <c r="AL88" s="303"/>
    </row>
    <row r="89" spans="1:38" ht="14.85" hidden="1" customHeight="1">
      <c r="B89" s="291" t="str">
        <v>ROMA champagne matt  - maximum profile length 2696 mm</v>
      </c>
      <c r="C89" s="293"/>
      <c r="D89" s="293"/>
      <c r="E89" s="293"/>
      <c r="F89" s="293"/>
      <c r="G89" s="293"/>
      <c r="H89" s="293"/>
      <c r="I89" s="293"/>
      <c r="J89" s="293"/>
      <c r="K89" s="293"/>
      <c r="L89" s="293"/>
      <c r="M89" s="293"/>
      <c r="N89" s="293"/>
      <c r="O89" s="293"/>
      <c r="P89" s="293"/>
      <c r="Q89" s="293"/>
      <c r="R89" s="293"/>
      <c r="S89" s="293"/>
      <c r="T89" s="302"/>
      <c r="U89" s="302"/>
      <c r="V89" s="302"/>
      <c r="W89" s="302"/>
      <c r="X89" s="302"/>
      <c r="Y89" s="303"/>
      <c r="Z89" s="303"/>
      <c r="AA89" s="303"/>
      <c r="AB89" s="303"/>
      <c r="AC89" s="301"/>
      <c r="AD89" s="301" t="e">
        <f ca="1"/>
        <v>#N/A</v>
      </c>
      <c r="AE89" s="301"/>
      <c r="AF89" s="301"/>
      <c r="AG89" s="301"/>
      <c r="AH89" s="301"/>
      <c r="AI89" s="303"/>
      <c r="AJ89" s="303"/>
      <c r="AK89" s="303"/>
      <c r="AL89" s="303"/>
    </row>
    <row r="90" spans="1:38" ht="14.85" hidden="1" customHeight="1">
      <c r="B90" s="291" t="str">
        <v>ROMA GRIP black matt  - maximum profile length 2696 mm</v>
      </c>
      <c r="C90" s="293"/>
      <c r="D90" s="293"/>
      <c r="E90" s="293"/>
      <c r="F90" s="293"/>
      <c r="G90" s="293"/>
      <c r="H90" s="293"/>
      <c r="I90" s="293"/>
      <c r="J90" s="293"/>
      <c r="K90" s="293"/>
      <c r="L90" s="293"/>
      <c r="M90" s="293"/>
      <c r="N90" s="293"/>
      <c r="O90" s="293"/>
      <c r="P90" s="293"/>
      <c r="Q90" s="293"/>
      <c r="R90" s="293"/>
      <c r="S90" s="293"/>
      <c r="T90" s="302"/>
      <c r="U90" s="302"/>
      <c r="V90" s="302"/>
      <c r="W90" s="302"/>
      <c r="X90" s="302"/>
      <c r="Y90" s="303"/>
      <c r="Z90" s="303"/>
      <c r="AA90" s="303"/>
      <c r="AB90" s="303"/>
      <c r="AC90" s="301"/>
      <c r="AD90" s="301" t="e">
        <f ca="1"/>
        <v>#N/A</v>
      </c>
      <c r="AE90" s="301"/>
      <c r="AF90" s="301"/>
      <c r="AG90" s="301"/>
      <c r="AH90" s="301"/>
      <c r="AI90" s="303"/>
      <c r="AJ90" s="303"/>
      <c r="AK90" s="303"/>
      <c r="AL90" s="303"/>
    </row>
    <row r="91" spans="1:38" ht="14.85" hidden="1" customHeight="1">
      <c r="B91" s="291" t="str">
        <v>ROMA GRIP champagne matt  - maximum profile length 2696 mm</v>
      </c>
      <c r="C91" s="293"/>
      <c r="D91" s="293"/>
      <c r="E91" s="293"/>
      <c r="F91" s="293"/>
      <c r="G91" s="293"/>
      <c r="H91" s="293"/>
      <c r="I91" s="293"/>
      <c r="J91" s="293"/>
      <c r="K91" s="293"/>
      <c r="L91" s="293"/>
      <c r="M91" s="293"/>
      <c r="N91" s="293"/>
      <c r="O91" s="293"/>
      <c r="P91" s="293"/>
      <c r="Q91" s="293"/>
      <c r="R91" s="293"/>
      <c r="S91" s="293"/>
      <c r="T91" s="302"/>
      <c r="U91" s="302"/>
      <c r="V91" s="302"/>
      <c r="W91" s="302"/>
      <c r="X91" s="302"/>
      <c r="Y91" s="303"/>
      <c r="Z91" s="303"/>
      <c r="AA91" s="303"/>
      <c r="AB91" s="303"/>
      <c r="AC91" s="301"/>
      <c r="AD91" s="301" t="e">
        <f ca="1"/>
        <v>#N/A</v>
      </c>
      <c r="AE91" s="301"/>
      <c r="AF91" s="301"/>
      <c r="AG91" s="301"/>
      <c r="AH91" s="301"/>
      <c r="AI91" s="303"/>
      <c r="AJ91" s="303"/>
      <c r="AK91" s="303"/>
      <c r="AL91" s="303"/>
    </row>
    <row r="92" spans="1:38" ht="14.85" hidden="1" customHeight="1">
      <c r="B92" s="291"/>
      <c r="C92" s="293"/>
      <c r="D92" s="293"/>
      <c r="E92" s="293"/>
      <c r="F92" s="293"/>
      <c r="G92" s="293"/>
      <c r="H92" s="293"/>
      <c r="I92" s="293"/>
      <c r="J92" s="293"/>
      <c r="K92" s="293"/>
      <c r="L92" s="293"/>
      <c r="M92" s="293"/>
      <c r="N92" s="293"/>
      <c r="O92" s="293"/>
      <c r="P92" s="293"/>
      <c r="Q92" s="293"/>
      <c r="R92" s="293"/>
      <c r="S92" s="293"/>
      <c r="T92" s="302"/>
      <c r="U92" s="302"/>
      <c r="V92" s="302"/>
      <c r="W92" s="302"/>
      <c r="X92" s="302"/>
      <c r="Y92" s="303"/>
      <c r="Z92" s="303"/>
      <c r="AA92" s="303"/>
      <c r="AB92" s="303"/>
      <c r="AC92" s="301"/>
      <c r="AD92" s="301" t="e">
        <f ca="1"/>
        <v>#N/A</v>
      </c>
      <c r="AE92" s="301"/>
      <c r="AF92" s="301"/>
      <c r="AG92" s="301"/>
      <c r="AH92" s="301"/>
      <c r="AI92" s="303"/>
      <c r="AJ92" s="303"/>
      <c r="AK92" s="303"/>
      <c r="AL92" s="303"/>
    </row>
    <row r="93" spans="1:38" ht="14.85" hidden="1" customHeight="1">
      <c r="B93" s="291"/>
      <c r="C93" s="293"/>
      <c r="D93" s="293"/>
      <c r="E93" s="293"/>
      <c r="F93" s="293"/>
      <c r="G93" s="293"/>
      <c r="H93" s="293"/>
      <c r="I93" s="293"/>
      <c r="J93" s="293"/>
      <c r="K93" s="293"/>
      <c r="L93" s="293"/>
      <c r="M93" s="293"/>
      <c r="N93" s="293"/>
      <c r="O93" s="293"/>
      <c r="P93" s="293"/>
      <c r="Q93" s="293"/>
      <c r="R93" s="293"/>
      <c r="S93" s="293"/>
      <c r="T93" s="302"/>
      <c r="U93" s="302"/>
      <c r="V93" s="302"/>
      <c r="W93" s="302"/>
      <c r="X93" s="302"/>
      <c r="Y93" s="303"/>
      <c r="Z93" s="303"/>
      <c r="AA93" s="303"/>
      <c r="AB93" s="303"/>
      <c r="AC93" s="301"/>
      <c r="AD93" s="301" t="e">
        <f ca="1"/>
        <v>#N/A</v>
      </c>
      <c r="AE93" s="301"/>
      <c r="AF93" s="301"/>
      <c r="AG93" s="301"/>
      <c r="AH93" s="301"/>
      <c r="AI93" s="303"/>
      <c r="AJ93" s="303"/>
      <c r="AK93" s="303"/>
      <c r="AL93" s="303"/>
    </row>
    <row r="94" spans="1:38" ht="14.85" hidden="1" customHeight="1">
      <c r="B94" s="291"/>
      <c r="C94" s="293"/>
      <c r="D94" s="293"/>
      <c r="E94" s="293"/>
      <c r="F94" s="293"/>
      <c r="G94" s="293"/>
      <c r="H94" s="293"/>
      <c r="I94" s="293"/>
      <c r="J94" s="293"/>
      <c r="K94" s="293"/>
      <c r="L94" s="293"/>
      <c r="M94" s="293"/>
      <c r="N94" s="293"/>
      <c r="O94" s="293"/>
      <c r="P94" s="293"/>
      <c r="Q94" s="293"/>
      <c r="R94" s="293"/>
      <c r="S94" s="293"/>
      <c r="T94" s="302"/>
      <c r="U94" s="302"/>
      <c r="V94" s="302"/>
      <c r="W94" s="302"/>
      <c r="X94" s="302"/>
      <c r="Y94" s="303"/>
      <c r="Z94" s="303"/>
      <c r="AA94" s="303"/>
      <c r="AB94" s="303"/>
      <c r="AC94" s="301"/>
      <c r="AD94" s="301" t="e">
        <f ca="1"/>
        <v>#N/A</v>
      </c>
      <c r="AE94" s="301"/>
      <c r="AF94" s="301"/>
      <c r="AG94" s="301"/>
      <c r="AH94" s="301"/>
      <c r="AI94" s="303"/>
      <c r="AJ94" s="303"/>
      <c r="AK94" s="303"/>
      <c r="AL94" s="303"/>
    </row>
    <row r="95" spans="1:38" ht="14.85" hidden="1" customHeight="1">
      <c r="B95" s="291"/>
      <c r="C95" s="293"/>
      <c r="D95" s="293"/>
      <c r="E95" s="293"/>
      <c r="F95" s="293"/>
      <c r="G95" s="293"/>
      <c r="H95" s="293"/>
      <c r="I95" s="293"/>
      <c r="J95" s="293"/>
      <c r="K95" s="293"/>
      <c r="L95" s="293"/>
      <c r="M95" s="293"/>
      <c r="N95" s="293"/>
      <c r="O95" s="293"/>
      <c r="P95" s="293"/>
      <c r="Q95" s="293"/>
      <c r="R95" s="293"/>
      <c r="S95" s="293"/>
      <c r="T95" s="302"/>
      <c r="U95" s="302"/>
      <c r="V95" s="302"/>
      <c r="W95" s="302"/>
      <c r="X95" s="302"/>
      <c r="Y95" s="303"/>
      <c r="Z95" s="303"/>
      <c r="AA95" s="303"/>
      <c r="AB95" s="303"/>
      <c r="AC95" s="301"/>
      <c r="AD95" s="301" t="e">
        <f ca="1"/>
        <v>#N/A</v>
      </c>
      <c r="AE95" s="301"/>
      <c r="AF95" s="301"/>
      <c r="AG95" s="301"/>
      <c r="AH95" s="301"/>
      <c r="AI95" s="303"/>
      <c r="AJ95" s="303"/>
      <c r="AK95" s="303"/>
      <c r="AL95" s="303"/>
    </row>
    <row r="96" spans="1:38" ht="14.85" hidden="1" customHeight="1">
      <c r="B96" s="291"/>
      <c r="C96" s="293"/>
      <c r="D96" s="293"/>
      <c r="E96" s="293"/>
      <c r="F96" s="293"/>
      <c r="G96" s="293"/>
      <c r="H96" s="293"/>
      <c r="I96" s="293"/>
      <c r="J96" s="293"/>
      <c r="K96" s="293"/>
      <c r="L96" s="293"/>
      <c r="M96" s="293"/>
      <c r="N96" s="293"/>
      <c r="O96" s="293"/>
      <c r="P96" s="293"/>
      <c r="Q96" s="293"/>
      <c r="R96" s="293"/>
      <c r="S96" s="293"/>
      <c r="T96" s="302"/>
      <c r="U96" s="302"/>
      <c r="V96" s="302"/>
      <c r="W96" s="302"/>
      <c r="X96" s="302"/>
      <c r="Y96" s="303"/>
      <c r="Z96" s="303"/>
      <c r="AA96" s="303"/>
      <c r="AB96" s="303"/>
      <c r="AC96" s="301"/>
      <c r="AD96" s="301" t="e">
        <f ca="1"/>
        <v>#N/A</v>
      </c>
      <c r="AE96" s="301"/>
      <c r="AF96" s="301"/>
      <c r="AG96" s="301"/>
      <c r="AH96" s="301"/>
      <c r="AI96" s="303"/>
      <c r="AJ96" s="303"/>
      <c r="AK96" s="303"/>
      <c r="AL96" s="303"/>
    </row>
    <row r="97" spans="2:38" ht="14.85" hidden="1" customHeight="1">
      <c r="B97" s="291"/>
      <c r="C97" s="293"/>
      <c r="D97" s="293"/>
      <c r="E97" s="293"/>
      <c r="F97" s="293"/>
      <c r="G97" s="293"/>
      <c r="H97" s="293"/>
      <c r="I97" s="293"/>
      <c r="J97" s="293"/>
      <c r="K97" s="293"/>
      <c r="L97" s="293"/>
      <c r="M97" s="293"/>
      <c r="N97" s="293"/>
      <c r="O97" s="293"/>
      <c r="P97" s="293"/>
      <c r="Q97" s="293"/>
      <c r="R97" s="293"/>
      <c r="S97" s="293"/>
      <c r="T97" s="302"/>
      <c r="U97" s="302"/>
      <c r="V97" s="302"/>
      <c r="W97" s="302"/>
      <c r="X97" s="302"/>
      <c r="Y97" s="303"/>
      <c r="Z97" s="303"/>
      <c r="AA97" s="303"/>
      <c r="AB97" s="303"/>
      <c r="AC97" s="301"/>
      <c r="AD97" s="301" t="e">
        <f ca="1"/>
        <v>#N/A</v>
      </c>
      <c r="AE97" s="301"/>
      <c r="AF97" s="301"/>
      <c r="AG97" s="301"/>
      <c r="AH97" s="301"/>
      <c r="AI97" s="303"/>
      <c r="AJ97" s="303"/>
      <c r="AK97" s="303"/>
      <c r="AL97" s="303"/>
    </row>
    <row r="98" spans="2:38" ht="14.85" hidden="1" customHeight="1">
      <c r="B98" s="291"/>
      <c r="C98" s="293"/>
      <c r="D98" s="293"/>
      <c r="E98" s="293"/>
      <c r="F98" s="293"/>
      <c r="G98" s="293"/>
      <c r="H98" s="293"/>
      <c r="I98" s="293"/>
      <c r="J98" s="293"/>
      <c r="K98" s="293"/>
      <c r="L98" s="293"/>
      <c r="M98" s="293"/>
      <c r="N98" s="293"/>
      <c r="O98" s="293"/>
      <c r="P98" s="293"/>
      <c r="Q98" s="293"/>
      <c r="R98" s="293"/>
      <c r="S98" s="293"/>
      <c r="T98" s="302"/>
      <c r="U98" s="302"/>
      <c r="V98" s="302"/>
      <c r="W98" s="302"/>
      <c r="X98" s="302"/>
      <c r="Y98" s="303"/>
      <c r="Z98" s="303"/>
      <c r="AA98" s="303"/>
      <c r="AB98" s="303"/>
      <c r="AC98" s="301"/>
      <c r="AD98" s="301"/>
      <c r="AE98" s="301"/>
      <c r="AF98" s="301"/>
      <c r="AG98" s="301"/>
      <c r="AH98" s="301"/>
      <c r="AI98" s="303"/>
      <c r="AJ98" s="303"/>
      <c r="AK98" s="303"/>
      <c r="AL98" s="303"/>
    </row>
    <row r="99" spans="2:38" ht="14.85" hidden="1" customHeight="1">
      <c r="B99" s="291"/>
      <c r="C99" s="293"/>
      <c r="D99" s="293"/>
      <c r="E99" s="293"/>
      <c r="F99" s="293"/>
      <c r="G99" s="293"/>
      <c r="H99" s="293"/>
      <c r="I99" s="293"/>
      <c r="J99" s="293"/>
      <c r="K99" s="293"/>
      <c r="L99" s="293"/>
      <c r="M99" s="293"/>
      <c r="N99" s="293"/>
      <c r="O99" s="293"/>
      <c r="P99" s="293"/>
      <c r="Q99" s="293"/>
      <c r="R99" s="293"/>
      <c r="S99" s="293"/>
      <c r="T99" s="302"/>
      <c r="U99" s="302"/>
      <c r="V99" s="302"/>
      <c r="W99" s="302"/>
      <c r="X99" s="302"/>
      <c r="Y99" s="303"/>
      <c r="Z99" s="303"/>
      <c r="AA99" s="303"/>
      <c r="AB99" s="303"/>
      <c r="AC99" s="301"/>
      <c r="AD99" s="301"/>
      <c r="AE99" s="301"/>
      <c r="AF99" s="301"/>
      <c r="AG99" s="301"/>
      <c r="AH99" s="301"/>
      <c r="AI99" s="303"/>
      <c r="AJ99" s="303"/>
      <c r="AK99" s="303"/>
      <c r="AL99" s="303"/>
    </row>
    <row r="100" spans="2:38" ht="14.85" hidden="1" customHeight="1">
      <c r="B100" s="291"/>
      <c r="C100" s="293"/>
      <c r="D100" s="293"/>
      <c r="E100" s="293"/>
      <c r="F100" s="293"/>
      <c r="G100" s="293"/>
      <c r="H100" s="293"/>
      <c r="I100" s="293"/>
      <c r="J100" s="293"/>
      <c r="K100" s="293"/>
      <c r="L100" s="293"/>
      <c r="M100" s="293"/>
      <c r="N100" s="293"/>
      <c r="O100" s="293"/>
      <c r="P100" s="293"/>
      <c r="Q100" s="293"/>
      <c r="R100" s="293"/>
      <c r="S100" s="293"/>
      <c r="T100" s="302"/>
      <c r="U100" s="302"/>
      <c r="V100" s="302"/>
      <c r="W100" s="302"/>
      <c r="X100" s="302"/>
      <c r="Y100" s="303"/>
      <c r="Z100" s="303"/>
      <c r="AA100" s="303"/>
      <c r="AB100" s="303"/>
      <c r="AC100" s="301"/>
      <c r="AD100" s="301"/>
      <c r="AE100" s="301"/>
      <c r="AF100" s="301"/>
      <c r="AG100" s="301"/>
      <c r="AH100" s="301"/>
      <c r="AI100" s="303"/>
      <c r="AJ100" s="303"/>
      <c r="AK100" s="303"/>
      <c r="AL100" s="303"/>
    </row>
    <row r="101" spans="2:38" ht="14.85" hidden="1" customHeight="1">
      <c r="T101" s="303"/>
      <c r="U101" s="303"/>
      <c r="V101" s="303"/>
      <c r="W101" s="303"/>
      <c r="X101" s="303"/>
      <c r="Y101" s="303"/>
      <c r="Z101" s="303"/>
      <c r="AA101" s="303"/>
      <c r="AB101" s="303"/>
      <c r="AC101" s="301"/>
      <c r="AD101" s="301"/>
      <c r="AE101" s="301"/>
      <c r="AF101" s="301"/>
      <c r="AG101" s="301"/>
      <c r="AH101" s="301"/>
      <c r="AI101" s="303"/>
      <c r="AJ101" s="303"/>
      <c r="AK101" s="303"/>
      <c r="AL101" s="303"/>
    </row>
    <row r="102" spans="2:38" ht="14.85" hidden="1" customHeight="1">
      <c r="T102" s="303"/>
      <c r="U102" s="303"/>
      <c r="V102" s="303"/>
      <c r="W102" s="303"/>
      <c r="X102" s="303"/>
      <c r="Y102" s="303"/>
      <c r="Z102" s="303"/>
      <c r="AA102" s="303"/>
      <c r="AB102" s="303"/>
      <c r="AC102" s="301"/>
      <c r="AD102" s="301"/>
      <c r="AE102" s="301"/>
      <c r="AF102" s="301"/>
      <c r="AG102" s="301"/>
      <c r="AH102" s="301"/>
      <c r="AI102" s="303"/>
      <c r="AJ102" s="303"/>
      <c r="AK102" s="303"/>
      <c r="AL102" s="303"/>
    </row>
    <row r="103" spans="2:38" ht="14.85" hidden="1" customHeight="1">
      <c r="T103" s="303"/>
      <c r="U103" s="303"/>
      <c r="V103" s="303"/>
      <c r="W103" s="303"/>
      <c r="X103" s="303"/>
      <c r="Y103" s="303"/>
      <c r="Z103" s="303"/>
      <c r="AA103" s="303"/>
      <c r="AB103" s="303"/>
      <c r="AC103" s="301"/>
      <c r="AD103" s="301"/>
      <c r="AE103" s="301"/>
      <c r="AF103" s="301"/>
      <c r="AG103" s="301"/>
      <c r="AH103" s="301"/>
      <c r="AI103" s="303"/>
      <c r="AJ103" s="303"/>
      <c r="AK103" s="303"/>
      <c r="AL103" s="303"/>
    </row>
    <row r="104" spans="2:38" ht="14.85" hidden="1" customHeight="1">
      <c r="T104" s="303"/>
      <c r="U104" s="303"/>
      <c r="V104" s="303"/>
      <c r="W104" s="303"/>
      <c r="X104" s="303"/>
      <c r="Y104" s="303"/>
      <c r="Z104" s="303"/>
      <c r="AA104" s="303"/>
      <c r="AB104" s="303"/>
      <c r="AC104" s="301"/>
      <c r="AD104" s="301"/>
      <c r="AE104" s="301"/>
      <c r="AF104" s="301"/>
      <c r="AG104" s="301"/>
      <c r="AH104" s="301"/>
      <c r="AI104" s="303"/>
      <c r="AJ104" s="303"/>
      <c r="AK104" s="303"/>
      <c r="AL104" s="303"/>
    </row>
    <row r="105" spans="2:38" ht="14.85" hidden="1" customHeight="1">
      <c r="T105" s="303"/>
      <c r="U105" s="303"/>
      <c r="V105" s="303"/>
      <c r="W105" s="303"/>
      <c r="X105" s="303"/>
      <c r="Y105" s="303"/>
      <c r="Z105" s="303"/>
      <c r="AA105" s="303"/>
      <c r="AB105" s="303"/>
      <c r="AC105" s="301"/>
      <c r="AD105" s="301"/>
      <c r="AE105" s="301"/>
      <c r="AF105" s="301"/>
      <c r="AG105" s="301"/>
      <c r="AH105" s="301"/>
      <c r="AI105" s="303"/>
      <c r="AJ105" s="303"/>
      <c r="AK105" s="303"/>
      <c r="AL105" s="303"/>
    </row>
    <row r="106" spans="2:38" ht="14.85" hidden="1" customHeight="1">
      <c r="T106" s="303"/>
      <c r="U106" s="303"/>
      <c r="V106" s="303"/>
      <c r="W106" s="303"/>
      <c r="X106" s="303"/>
      <c r="Y106" s="303"/>
      <c r="Z106" s="303"/>
      <c r="AA106" s="303"/>
      <c r="AB106" s="303"/>
      <c r="AC106" s="301"/>
      <c r="AD106" s="301"/>
      <c r="AE106" s="301"/>
      <c r="AF106" s="301"/>
      <c r="AG106" s="301"/>
      <c r="AH106" s="301"/>
      <c r="AI106" s="303"/>
      <c r="AJ106" s="303"/>
      <c r="AK106" s="303"/>
      <c r="AL106" s="303"/>
    </row>
    <row r="107" spans="2:38" ht="14.85" hidden="1" customHeight="1">
      <c r="T107" s="303"/>
      <c r="U107" s="303"/>
      <c r="V107" s="303"/>
      <c r="W107" s="303"/>
      <c r="X107" s="303"/>
      <c r="Y107" s="303"/>
      <c r="Z107" s="303"/>
      <c r="AA107" s="303"/>
      <c r="AB107" s="303"/>
      <c r="AC107" s="301"/>
      <c r="AD107" s="301"/>
      <c r="AE107" s="301"/>
      <c r="AF107" s="301"/>
      <c r="AG107" s="301"/>
      <c r="AH107" s="301"/>
      <c r="AI107" s="303"/>
      <c r="AJ107" s="303"/>
      <c r="AK107" s="303"/>
      <c r="AL107" s="303"/>
    </row>
    <row r="108" spans="2:38" ht="14.85" hidden="1" customHeight="1">
      <c r="T108" s="303"/>
      <c r="U108" s="303"/>
      <c r="V108" s="303"/>
      <c r="W108" s="303"/>
      <c r="X108" s="303"/>
      <c r="Y108" s="303"/>
      <c r="Z108" s="303"/>
      <c r="AA108" s="303"/>
      <c r="AB108" s="303"/>
      <c r="AC108" s="301"/>
      <c r="AD108" s="301"/>
      <c r="AE108" s="301"/>
      <c r="AF108" s="301"/>
      <c r="AG108" s="301"/>
      <c r="AH108" s="301"/>
      <c r="AI108" s="303"/>
      <c r="AJ108" s="303"/>
      <c r="AK108" s="303"/>
      <c r="AL108" s="303"/>
    </row>
    <row r="109" spans="2:38" ht="14.85" hidden="1" customHeight="1">
      <c r="T109" s="303"/>
      <c r="U109" s="303"/>
      <c r="V109" s="303"/>
      <c r="W109" s="303"/>
      <c r="X109" s="303"/>
      <c r="Y109" s="303"/>
      <c r="Z109" s="303"/>
      <c r="AA109" s="303"/>
      <c r="AB109" s="303"/>
      <c r="AC109" s="301"/>
      <c r="AD109" s="301"/>
      <c r="AE109" s="301"/>
      <c r="AF109" s="301"/>
      <c r="AG109" s="301"/>
      <c r="AH109" s="301"/>
      <c r="AI109" s="303"/>
      <c r="AJ109" s="303"/>
      <c r="AK109" s="303"/>
      <c r="AL109" s="303"/>
    </row>
    <row r="110" spans="2:38" ht="14.85" hidden="1" customHeight="1">
      <c r="T110" s="303"/>
      <c r="U110" s="303"/>
      <c r="V110" s="303"/>
      <c r="W110" s="303"/>
      <c r="X110" s="303"/>
      <c r="Y110" s="303"/>
      <c r="Z110" s="303"/>
      <c r="AA110" s="303"/>
      <c r="AB110" s="303"/>
      <c r="AC110" s="301"/>
      <c r="AD110" s="301"/>
      <c r="AE110" s="301"/>
      <c r="AF110" s="301"/>
      <c r="AG110" s="301"/>
      <c r="AH110" s="301"/>
      <c r="AI110" s="303"/>
      <c r="AJ110" s="303"/>
      <c r="AK110" s="303"/>
      <c r="AL110" s="303"/>
    </row>
    <row r="111" spans="2:38" ht="14.85" hidden="1" customHeight="1">
      <c r="T111" s="303"/>
      <c r="U111" s="303"/>
      <c r="V111" s="303"/>
      <c r="W111" s="303"/>
      <c r="X111" s="303"/>
      <c r="Y111" s="303"/>
      <c r="Z111" s="303"/>
      <c r="AA111" s="303"/>
      <c r="AB111" s="303"/>
      <c r="AC111" s="301"/>
      <c r="AD111" s="301"/>
      <c r="AE111" s="301"/>
      <c r="AF111" s="301"/>
      <c r="AG111" s="301"/>
      <c r="AH111" s="301"/>
      <c r="AI111" s="303"/>
      <c r="AJ111" s="303"/>
      <c r="AK111" s="303"/>
      <c r="AL111" s="303"/>
    </row>
    <row r="112" spans="2:38" ht="14.85" hidden="1" customHeight="1">
      <c r="T112" s="303"/>
      <c r="U112" s="303"/>
      <c r="V112" s="303"/>
      <c r="W112" s="303"/>
      <c r="X112" s="303"/>
      <c r="Y112" s="303"/>
      <c r="Z112" s="303"/>
      <c r="AA112" s="303"/>
      <c r="AB112" s="303"/>
      <c r="AC112" s="301"/>
      <c r="AD112" s="301"/>
      <c r="AE112" s="301"/>
      <c r="AF112" s="301"/>
      <c r="AG112" s="301"/>
      <c r="AH112" s="301"/>
      <c r="AI112" s="303"/>
      <c r="AJ112" s="303"/>
      <c r="AK112" s="303"/>
      <c r="AL112" s="303"/>
    </row>
    <row r="113" spans="20:38" ht="14.85" hidden="1" customHeight="1">
      <c r="T113" s="303"/>
      <c r="U113" s="303"/>
      <c r="V113" s="303"/>
      <c r="W113" s="303"/>
      <c r="X113" s="303"/>
      <c r="Y113" s="303"/>
      <c r="Z113" s="303"/>
      <c r="AA113" s="303"/>
      <c r="AB113" s="303"/>
      <c r="AC113" s="301"/>
      <c r="AD113" s="301"/>
      <c r="AE113" s="301"/>
      <c r="AF113" s="301"/>
      <c r="AG113" s="301"/>
      <c r="AH113" s="301"/>
      <c r="AI113" s="303"/>
      <c r="AJ113" s="303"/>
      <c r="AK113" s="303"/>
      <c r="AL113" s="303"/>
    </row>
    <row r="114" spans="20:38" ht="14.85" hidden="1" customHeight="1">
      <c r="T114" s="303"/>
      <c r="U114" s="303"/>
      <c r="V114" s="303"/>
      <c r="W114" s="303"/>
      <c r="X114" s="303"/>
      <c r="Y114" s="303"/>
      <c r="Z114" s="303"/>
      <c r="AA114" s="303"/>
      <c r="AB114" s="303"/>
      <c r="AC114" s="301"/>
      <c r="AD114" s="301"/>
      <c r="AE114" s="301"/>
      <c r="AF114" s="301"/>
      <c r="AG114" s="301"/>
      <c r="AH114" s="301"/>
      <c r="AI114" s="303"/>
      <c r="AJ114" s="303"/>
      <c r="AK114" s="303"/>
      <c r="AL114" s="303"/>
    </row>
    <row r="115" spans="20:38" ht="14.85" hidden="1" customHeight="1">
      <c r="T115" s="303"/>
      <c r="U115" s="303"/>
      <c r="V115" s="303"/>
      <c r="W115" s="303"/>
      <c r="X115" s="303"/>
      <c r="Y115" s="303"/>
      <c r="Z115" s="303"/>
      <c r="AA115" s="303"/>
      <c r="AB115" s="303"/>
      <c r="AC115" s="301"/>
      <c r="AD115" s="301"/>
      <c r="AE115" s="301"/>
      <c r="AF115" s="301"/>
      <c r="AG115" s="301"/>
      <c r="AH115" s="301"/>
      <c r="AI115" s="303"/>
      <c r="AJ115" s="303"/>
      <c r="AK115" s="303"/>
      <c r="AL115" s="303"/>
    </row>
    <row r="116" spans="20:38" ht="19.5" hidden="1" customHeight="1">
      <c r="T116" s="303"/>
      <c r="U116" s="303"/>
      <c r="V116" s="303"/>
      <c r="W116" s="303"/>
      <c r="X116" s="303"/>
      <c r="Y116" s="303"/>
      <c r="Z116" s="303"/>
      <c r="AA116" s="303"/>
      <c r="AB116" s="303"/>
      <c r="AC116" s="301"/>
      <c r="AD116" s="301"/>
      <c r="AE116" s="301"/>
      <c r="AF116" s="301"/>
      <c r="AG116" s="301"/>
      <c r="AH116" s="301"/>
      <c r="AI116" s="303"/>
      <c r="AJ116" s="303"/>
      <c r="AK116" s="303"/>
      <c r="AL116" s="303"/>
    </row>
    <row r="117" spans="20:38" ht="14.85" hidden="1" customHeight="1">
      <c r="T117" s="303"/>
      <c r="U117" s="303"/>
      <c r="V117" s="303"/>
      <c r="W117" s="303"/>
      <c r="X117" s="303"/>
      <c r="Y117" s="303"/>
      <c r="Z117" s="303"/>
      <c r="AA117" s="303"/>
      <c r="AB117" s="303"/>
      <c r="AC117" s="301"/>
      <c r="AD117" s="301"/>
      <c r="AE117" s="301"/>
      <c r="AF117" s="301"/>
      <c r="AG117" s="301"/>
      <c r="AH117" s="301"/>
      <c r="AI117" s="303"/>
      <c r="AJ117" s="303"/>
      <c r="AK117" s="303"/>
      <c r="AL117" s="303"/>
    </row>
    <row r="118" spans="20:38" ht="14.85" hidden="1" customHeight="1">
      <c r="T118" s="303"/>
      <c r="U118" s="303"/>
      <c r="V118" s="303"/>
      <c r="W118" s="303"/>
      <c r="X118" s="303"/>
      <c r="Y118" s="303"/>
      <c r="Z118" s="303"/>
      <c r="AA118" s="303"/>
      <c r="AB118" s="303"/>
      <c r="AC118" s="301"/>
      <c r="AD118" s="301"/>
      <c r="AE118" s="301"/>
      <c r="AF118" s="301"/>
      <c r="AG118" s="301"/>
      <c r="AH118" s="301"/>
      <c r="AI118" s="303"/>
      <c r="AJ118" s="303"/>
      <c r="AK118" s="303"/>
      <c r="AL118" s="303"/>
    </row>
    <row r="119" spans="20:38" ht="14.85" hidden="1" customHeight="1">
      <c r="T119" s="303"/>
      <c r="U119" s="303"/>
      <c r="V119" s="303"/>
      <c r="W119" s="303"/>
      <c r="X119" s="303"/>
      <c r="Y119" s="303"/>
      <c r="Z119" s="303"/>
      <c r="AA119" s="303"/>
      <c r="AB119" s="303"/>
      <c r="AC119" s="301"/>
      <c r="AD119" s="301"/>
      <c r="AE119" s="301"/>
      <c r="AF119" s="301"/>
      <c r="AG119" s="301"/>
      <c r="AH119" s="301"/>
      <c r="AI119" s="303"/>
      <c r="AJ119" s="303"/>
      <c r="AK119" s="303"/>
      <c r="AL119" s="303"/>
    </row>
    <row r="120" spans="20:38" ht="14.85" hidden="1" customHeight="1">
      <c r="T120" s="303"/>
      <c r="U120" s="303"/>
      <c r="V120" s="303"/>
      <c r="W120" s="303"/>
      <c r="X120" s="303"/>
      <c r="Y120" s="303"/>
      <c r="Z120" s="303"/>
      <c r="AA120" s="303"/>
      <c r="AB120" s="303"/>
      <c r="AC120" s="301"/>
      <c r="AD120" s="301"/>
      <c r="AE120" s="301"/>
      <c r="AF120" s="301"/>
      <c r="AG120" s="301"/>
      <c r="AH120" s="301"/>
      <c r="AI120" s="303"/>
      <c r="AJ120" s="303"/>
      <c r="AK120" s="303"/>
      <c r="AL120" s="303"/>
    </row>
    <row r="121" spans="20:38" ht="14.85" hidden="1" customHeight="1">
      <c r="T121" s="303"/>
      <c r="U121" s="303"/>
      <c r="V121" s="303"/>
      <c r="W121" s="303"/>
      <c r="X121" s="303"/>
      <c r="Y121" s="303"/>
      <c r="Z121" s="303"/>
      <c r="AA121" s="303"/>
      <c r="AB121" s="303"/>
      <c r="AC121" s="301"/>
      <c r="AD121" s="301"/>
      <c r="AE121" s="301"/>
      <c r="AF121" s="301"/>
      <c r="AG121" s="301"/>
      <c r="AH121" s="301"/>
      <c r="AI121" s="303"/>
      <c r="AJ121" s="303"/>
      <c r="AK121" s="303"/>
      <c r="AL121" s="303"/>
    </row>
    <row r="122" spans="20:38" ht="14.85" hidden="1" customHeight="1">
      <c r="T122" s="303"/>
      <c r="U122" s="303"/>
      <c r="V122" s="303"/>
      <c r="W122" s="303"/>
      <c r="X122" s="303"/>
      <c r="Y122" s="303"/>
      <c r="Z122" s="303"/>
      <c r="AA122" s="303"/>
      <c r="AB122" s="303"/>
      <c r="AC122" s="301"/>
      <c r="AD122" s="301"/>
      <c r="AE122" s="301"/>
      <c r="AF122" s="301"/>
      <c r="AG122" s="301"/>
      <c r="AH122" s="301"/>
      <c r="AI122" s="303"/>
      <c r="AJ122" s="303"/>
      <c r="AK122" s="303"/>
      <c r="AL122" s="303"/>
    </row>
    <row r="123" spans="20:38" ht="14.85" hidden="1" customHeight="1">
      <c r="T123" s="303"/>
      <c r="U123" s="303"/>
      <c r="V123" s="303"/>
      <c r="W123" s="303"/>
      <c r="X123" s="303"/>
      <c r="Y123" s="303"/>
      <c r="Z123" s="303"/>
      <c r="AA123" s="303"/>
      <c r="AB123" s="303"/>
      <c r="AC123" s="301"/>
      <c r="AD123" s="301"/>
      <c r="AE123" s="301"/>
      <c r="AF123" s="301"/>
      <c r="AG123" s="301"/>
      <c r="AH123" s="301"/>
      <c r="AI123" s="303"/>
      <c r="AJ123" s="303"/>
      <c r="AK123" s="303"/>
      <c r="AL123" s="303"/>
    </row>
    <row r="124" spans="20:38" ht="14.85" hidden="1" customHeight="1">
      <c r="T124" s="303"/>
      <c r="U124" s="303"/>
      <c r="V124" s="303"/>
      <c r="W124" s="303"/>
      <c r="X124" s="303"/>
      <c r="Y124" s="303"/>
      <c r="Z124" s="303"/>
      <c r="AA124" s="303"/>
      <c r="AB124" s="303"/>
      <c r="AC124" s="301"/>
      <c r="AD124" s="301"/>
      <c r="AE124" s="301"/>
      <c r="AF124" s="301"/>
      <c r="AG124" s="301"/>
      <c r="AH124" s="301"/>
      <c r="AI124" s="303"/>
      <c r="AJ124" s="303"/>
      <c r="AK124" s="303"/>
      <c r="AL124" s="303"/>
    </row>
    <row r="125" spans="20:38" ht="14.85" hidden="1" customHeight="1">
      <c r="T125" s="303"/>
      <c r="U125" s="303"/>
      <c r="V125" s="303"/>
      <c r="W125" s="303"/>
      <c r="X125" s="303"/>
      <c r="Y125" s="303"/>
      <c r="Z125" s="303"/>
      <c r="AA125" s="303"/>
      <c r="AB125" s="303"/>
      <c r="AC125" s="301"/>
      <c r="AD125" s="301"/>
      <c r="AE125" s="301"/>
      <c r="AF125" s="301"/>
      <c r="AG125" s="301"/>
      <c r="AH125" s="301"/>
      <c r="AI125" s="303"/>
      <c r="AJ125" s="303"/>
      <c r="AK125" s="303"/>
      <c r="AL125" s="303"/>
    </row>
    <row r="126" spans="20:38" ht="14.85" hidden="1" customHeight="1">
      <c r="T126" s="303"/>
      <c r="U126" s="303"/>
      <c r="V126" s="303"/>
      <c r="W126" s="303"/>
      <c r="X126" s="303"/>
      <c r="Y126" s="303"/>
      <c r="Z126" s="303"/>
      <c r="AA126" s="303"/>
      <c r="AB126" s="303"/>
      <c r="AC126" s="301"/>
      <c r="AD126" s="301"/>
      <c r="AE126" s="301"/>
      <c r="AF126" s="301"/>
      <c r="AG126" s="301"/>
      <c r="AH126" s="301"/>
      <c r="AI126" s="303"/>
      <c r="AJ126" s="303"/>
      <c r="AK126" s="303"/>
      <c r="AL126" s="303"/>
    </row>
    <row r="127" spans="20:38" ht="14.85" hidden="1" customHeight="1">
      <c r="T127" s="303"/>
      <c r="U127" s="303"/>
      <c r="V127" s="303"/>
      <c r="W127" s="303"/>
      <c r="X127" s="303"/>
      <c r="Y127" s="303"/>
      <c r="Z127" s="303"/>
      <c r="AA127" s="303"/>
      <c r="AB127" s="303"/>
      <c r="AC127" s="301"/>
      <c r="AD127" s="301"/>
      <c r="AE127" s="301"/>
      <c r="AF127" s="301"/>
      <c r="AG127" s="301"/>
      <c r="AH127" s="301"/>
      <c r="AI127" s="303"/>
      <c r="AJ127" s="303"/>
      <c r="AK127" s="303"/>
      <c r="AL127" s="303"/>
    </row>
    <row r="128" spans="20:38" ht="14.85" hidden="1" customHeight="1">
      <c r="T128" s="303"/>
      <c r="U128" s="303"/>
      <c r="V128" s="303"/>
      <c r="W128" s="303"/>
      <c r="X128" s="303"/>
      <c r="Y128" s="303"/>
      <c r="Z128" s="303"/>
      <c r="AA128" s="303"/>
      <c r="AB128" s="303"/>
      <c r="AC128" s="301"/>
      <c r="AD128" s="301"/>
      <c r="AE128" s="301"/>
      <c r="AF128" s="301"/>
      <c r="AG128" s="301"/>
      <c r="AH128" s="301"/>
      <c r="AI128" s="303"/>
      <c r="AJ128" s="303"/>
      <c r="AK128" s="303"/>
      <c r="AL128" s="303"/>
    </row>
    <row r="129" spans="20:38" ht="14.85" hidden="1" customHeight="1">
      <c r="T129" s="303"/>
      <c r="U129" s="303"/>
      <c r="V129" s="303"/>
      <c r="W129" s="303"/>
      <c r="X129" s="303"/>
      <c r="Y129" s="303"/>
      <c r="Z129" s="303"/>
      <c r="AA129" s="303"/>
      <c r="AB129" s="303"/>
      <c r="AC129" s="301"/>
      <c r="AD129" s="301"/>
      <c r="AE129" s="301"/>
      <c r="AF129" s="301"/>
      <c r="AG129" s="301"/>
      <c r="AH129" s="301"/>
      <c r="AI129" s="303"/>
      <c r="AJ129" s="303"/>
      <c r="AK129" s="303"/>
      <c r="AL129" s="303"/>
    </row>
    <row r="130" spans="20:38" ht="14.85" hidden="1" customHeight="1">
      <c r="T130" s="303"/>
      <c r="U130" s="303"/>
      <c r="V130" s="303"/>
      <c r="W130" s="303"/>
      <c r="X130" s="303"/>
      <c r="Y130" s="303"/>
      <c r="Z130" s="303"/>
      <c r="AA130" s="303"/>
      <c r="AB130" s="303"/>
      <c r="AC130" s="301"/>
      <c r="AD130" s="301"/>
      <c r="AE130" s="301"/>
      <c r="AF130" s="301"/>
      <c r="AG130" s="301"/>
      <c r="AH130" s="301"/>
      <c r="AI130" s="303"/>
      <c r="AJ130" s="303"/>
      <c r="AK130" s="303"/>
      <c r="AL130" s="303"/>
    </row>
    <row r="131" spans="20:38" ht="14.85" hidden="1" customHeight="1">
      <c r="T131" s="303"/>
      <c r="U131" s="303"/>
      <c r="V131" s="303"/>
      <c r="W131" s="303"/>
      <c r="X131" s="303"/>
      <c r="Y131" s="303"/>
      <c r="Z131" s="303"/>
      <c r="AA131" s="303"/>
      <c r="AB131" s="303"/>
      <c r="AC131" s="303"/>
      <c r="AD131" s="303"/>
      <c r="AE131" s="303"/>
      <c r="AF131" s="303"/>
      <c r="AG131" s="303"/>
      <c r="AH131" s="303"/>
      <c r="AI131" s="303"/>
      <c r="AJ131" s="303"/>
      <c r="AK131" s="303"/>
      <c r="AL131" s="303"/>
    </row>
    <row r="132" spans="20:38" ht="14.85" hidden="1" customHeight="1">
      <c r="T132" s="303"/>
      <c r="U132" s="303"/>
      <c r="V132" s="303"/>
      <c r="W132" s="303"/>
      <c r="X132" s="303"/>
      <c r="Y132" s="303"/>
      <c r="Z132" s="303"/>
      <c r="AA132" s="303"/>
      <c r="AB132" s="303"/>
      <c r="AC132" s="303"/>
      <c r="AD132" s="303"/>
      <c r="AE132" s="303"/>
      <c r="AF132" s="303"/>
      <c r="AG132" s="303"/>
      <c r="AH132" s="303"/>
      <c r="AI132" s="303"/>
      <c r="AJ132" s="303"/>
      <c r="AK132" s="303"/>
      <c r="AL132" s="303"/>
    </row>
    <row r="133" spans="20:38" ht="14.85" hidden="1" customHeight="1">
      <c r="T133" s="303"/>
      <c r="U133" s="303"/>
      <c r="V133" s="303"/>
      <c r="W133" s="303"/>
      <c r="X133" s="303"/>
      <c r="Y133" s="303"/>
      <c r="Z133" s="303"/>
      <c r="AA133" s="303"/>
      <c r="AB133" s="303"/>
      <c r="AC133" s="303"/>
      <c r="AD133" s="303"/>
      <c r="AE133" s="303"/>
      <c r="AF133" s="303"/>
      <c r="AG133" s="303"/>
      <c r="AH133" s="303"/>
      <c r="AI133" s="303"/>
      <c r="AJ133" s="303"/>
      <c r="AK133" s="303"/>
      <c r="AL133" s="303"/>
    </row>
    <row r="134" spans="20:38" ht="14.85" hidden="1" customHeight="1">
      <c r="T134" s="303"/>
      <c r="U134" s="303"/>
      <c r="V134" s="303"/>
      <c r="W134" s="303"/>
      <c r="X134" s="303"/>
      <c r="Y134" s="303"/>
      <c r="Z134" s="303"/>
      <c r="AA134" s="303"/>
      <c r="AB134" s="303"/>
      <c r="AC134" s="303"/>
      <c r="AD134" s="303"/>
      <c r="AE134" s="303"/>
      <c r="AF134" s="303"/>
      <c r="AG134" s="303"/>
      <c r="AH134" s="303"/>
      <c r="AI134" s="303"/>
      <c r="AJ134" s="303"/>
      <c r="AK134" s="303"/>
      <c r="AL134" s="303"/>
    </row>
    <row r="135" spans="20:38" ht="14.85" hidden="1" customHeight="1">
      <c r="T135" s="303"/>
      <c r="U135" s="303"/>
      <c r="V135" s="303"/>
      <c r="W135" s="303"/>
      <c r="X135" s="303"/>
      <c r="Y135" s="303"/>
      <c r="Z135" s="303"/>
      <c r="AA135" s="303"/>
      <c r="AB135" s="303"/>
      <c r="AC135" s="303"/>
      <c r="AD135" s="303"/>
      <c r="AE135" s="303"/>
      <c r="AF135" s="303"/>
      <c r="AG135" s="303"/>
      <c r="AH135" s="303"/>
      <c r="AI135" s="303"/>
      <c r="AJ135" s="303"/>
      <c r="AK135" s="303"/>
      <c r="AL135" s="303"/>
    </row>
    <row r="136" spans="20:38" ht="14.85" hidden="1" customHeight="1">
      <c r="T136" s="303"/>
      <c r="U136" s="303"/>
      <c r="V136" s="303"/>
      <c r="W136" s="303"/>
      <c r="X136" s="303"/>
      <c r="Y136" s="303"/>
      <c r="Z136" s="303"/>
      <c r="AA136" s="303"/>
      <c r="AB136" s="303"/>
      <c r="AC136" s="303"/>
      <c r="AD136" s="303"/>
      <c r="AE136" s="303"/>
      <c r="AF136" s="303"/>
      <c r="AG136" s="303"/>
      <c r="AH136" s="303"/>
      <c r="AI136" s="303"/>
      <c r="AJ136" s="303"/>
      <c r="AK136" s="303"/>
      <c r="AL136" s="303"/>
    </row>
    <row r="137" spans="20:38" ht="14.85" hidden="1" customHeight="1">
      <c r="T137" s="303"/>
      <c r="U137" s="303"/>
      <c r="V137" s="303"/>
      <c r="W137" s="303"/>
      <c r="X137" s="303"/>
      <c r="Y137" s="303"/>
      <c r="Z137" s="303"/>
      <c r="AA137" s="303"/>
      <c r="AB137" s="303"/>
      <c r="AC137" s="303"/>
      <c r="AD137" s="303"/>
      <c r="AE137" s="303"/>
      <c r="AF137" s="303"/>
      <c r="AG137" s="303"/>
      <c r="AH137" s="303"/>
      <c r="AI137" s="303"/>
      <c r="AJ137" s="303"/>
      <c r="AK137" s="303"/>
      <c r="AL137" s="303"/>
    </row>
    <row r="138" spans="20:38" ht="14.85" hidden="1" customHeight="1">
      <c r="T138" s="303"/>
      <c r="U138" s="303"/>
      <c r="V138" s="303"/>
      <c r="W138" s="303"/>
      <c r="X138" s="303"/>
      <c r="Y138" s="303"/>
      <c r="Z138" s="303"/>
      <c r="AA138" s="303"/>
      <c r="AB138" s="303"/>
      <c r="AC138" s="303"/>
      <c r="AD138" s="303"/>
      <c r="AE138" s="303"/>
      <c r="AF138" s="303"/>
      <c r="AG138" s="303"/>
      <c r="AH138" s="303"/>
      <c r="AI138" s="303"/>
      <c r="AJ138" s="303"/>
      <c r="AK138" s="303"/>
      <c r="AL138" s="303"/>
    </row>
  </sheetData>
  <sheetProtection algorithmName="SHA-512" hashValue="dTxjtJw4LGjC3rgv56RFs5usWKEQO3VihrqYDWcaEu5rcUEsD36RXB4jvFzn8x60IOR3v/XXtO8XjtYSKgflVw==" saltValue="BXGl2t9QXwPpsE76uvrWig==" spinCount="100000" sheet="1" objects="1" scenarios="1"/>
  <protectedRanges>
    <protectedRange sqref="G7 I7:R7" name="Oblast1"/>
  </protectedRanges>
  <dataConsolidate/>
  <mergeCells count="99">
    <mergeCell ref="B33:K34"/>
    <mergeCell ref="L33:Q34"/>
    <mergeCell ref="V34:W34"/>
    <mergeCell ref="J20:M20"/>
    <mergeCell ref="AC24:AG24"/>
    <mergeCell ref="B25:F25"/>
    <mergeCell ref="B26:F26"/>
    <mergeCell ref="H25:Q25"/>
    <mergeCell ref="P29:Q29"/>
    <mergeCell ref="D29:O29"/>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N47:AO47"/>
    <mergeCell ref="AP47:AQ47"/>
    <mergeCell ref="BI3:BM3"/>
    <mergeCell ref="AP2:AS3"/>
    <mergeCell ref="BD3:BH3"/>
    <mergeCell ref="AO31:AR32"/>
    <mergeCell ref="AR19:AR23"/>
    <mergeCell ref="AN19:AO19"/>
    <mergeCell ref="AR14:AR18"/>
  </mergeCells>
  <conditionalFormatting sqref="B5 F5 J5 N5 R5 V5">
    <cfRule type="cellIs" dxfId="761" priority="62" operator="equal">
      <formula>$A$2</formula>
    </cfRule>
  </conditionalFormatting>
  <conditionalFormatting sqref="B16:I16">
    <cfRule type="expression" dxfId="760" priority="322">
      <formula>$AU$19=0</formula>
    </cfRule>
  </conditionalFormatting>
  <conditionalFormatting sqref="B9:Q9">
    <cfRule type="expression" dxfId="759" priority="98">
      <formula>$B$9=0</formula>
    </cfRule>
  </conditionalFormatting>
  <conditionalFormatting sqref="B11:Q11">
    <cfRule type="expression" dxfId="758" priority="303">
      <formula>$AU$10=0</formula>
    </cfRule>
  </conditionalFormatting>
  <conditionalFormatting sqref="B14:Q14">
    <cfRule type="expression" dxfId="757" priority="96">
      <formula>$B$14=0</formula>
    </cfRule>
  </conditionalFormatting>
  <conditionalFormatting sqref="B17:Q17">
    <cfRule type="expression" dxfId="756" priority="90">
      <formula>$B$17=0</formula>
    </cfRule>
  </conditionalFormatting>
  <conditionalFormatting sqref="B18:Q18">
    <cfRule type="expression" dxfId="755" priority="40" stopIfTrue="1">
      <formula>$B$18=0</formula>
    </cfRule>
    <cfRule type="expression" dxfId="754" priority="43">
      <formula>$F$16=$H$61</formula>
    </cfRule>
  </conditionalFormatting>
  <conditionalFormatting sqref="B19:Q19">
    <cfRule type="expression" dxfId="753" priority="89">
      <formula>$B$19=0</formula>
    </cfRule>
  </conditionalFormatting>
  <conditionalFormatting sqref="B20:Q20">
    <cfRule type="expression" dxfId="752" priority="64">
      <formula>$B$19=0</formula>
    </cfRule>
    <cfRule type="expression" dxfId="751" priority="63">
      <formula>$B$20=0</formula>
    </cfRule>
  </conditionalFormatting>
  <conditionalFormatting sqref="B21:Q21">
    <cfRule type="expression" dxfId="750" priority="15">
      <formula>$B$21=" "</formula>
    </cfRule>
  </conditionalFormatting>
  <conditionalFormatting sqref="B24:Q24">
    <cfRule type="expression" dxfId="749" priority="47" stopIfTrue="1">
      <formula>$T$59&lt;3</formula>
    </cfRule>
  </conditionalFormatting>
  <conditionalFormatting sqref="H23">
    <cfRule type="expression" dxfId="748" priority="265">
      <formula>$H$25&gt;0</formula>
    </cfRule>
  </conditionalFormatting>
  <conditionalFormatting sqref="H10:L11">
    <cfRule type="expression" dxfId="747" priority="58">
      <formula>$AU$10=2</formula>
    </cfRule>
  </conditionalFormatting>
  <conditionalFormatting sqref="H10:Q10">
    <cfRule type="expression" dxfId="746" priority="57">
      <formula>$AU$10=0</formula>
    </cfRule>
  </conditionalFormatting>
  <conditionalFormatting sqref="H22:Q22 B22:G23">
    <cfRule type="expression" dxfId="745" priority="52">
      <formula>$AS$33=1</formula>
    </cfRule>
  </conditionalFormatting>
  <conditionalFormatting sqref="J16:M16">
    <cfRule type="expression" dxfId="744" priority="42" stopIfTrue="1">
      <formula>$K$60=TRUE</formula>
    </cfRule>
  </conditionalFormatting>
  <conditionalFormatting sqref="J16:N16">
    <cfRule type="expression" dxfId="743" priority="45" stopIfTrue="1">
      <formula>$AV$19=0</formula>
    </cfRule>
  </conditionalFormatting>
  <conditionalFormatting sqref="M10:Q11">
    <cfRule type="expression" dxfId="742" priority="56">
      <formula>$AU$10=1</formula>
    </cfRule>
  </conditionalFormatting>
  <conditionalFormatting sqref="N16:Q16">
    <cfRule type="expression" dxfId="741" priority="41" stopIfTrue="1">
      <formula>$K$60=TRUE</formula>
    </cfRule>
  </conditionalFormatting>
  <conditionalFormatting sqref="P29:Q29">
    <cfRule type="expression" dxfId="740" priority="1">
      <formula>$U$41=2</formula>
    </cfRule>
  </conditionalFormatting>
  <conditionalFormatting sqref="AA9:AA10 AA24:AA25">
    <cfRule type="expression" dxfId="739" priority="19" stopIfTrue="1">
      <formula>$AU$17=1</formula>
    </cfRule>
  </conditionalFormatting>
  <conditionalFormatting sqref="AA16:AA17">
    <cfRule type="expression" dxfId="738" priority="11" stopIfTrue="1">
      <formula>$AU$24="1_3"</formula>
    </cfRule>
  </conditionalFormatting>
  <conditionalFormatting sqref="AB6 AA6:AA7 AA27 AA28:AB28">
    <cfRule type="expression" dxfId="737" priority="8" stopIfTrue="1">
      <formula>$AV$17=1</formula>
    </cfRule>
  </conditionalFormatting>
  <conditionalFormatting sqref="AB29:AO29">
    <cfRule type="cellIs" dxfId="736" priority="4" operator="equal">
      <formula>0</formula>
    </cfRule>
  </conditionalFormatting>
  <conditionalFormatting sqref="AC6:AD6 AM6:AN6">
    <cfRule type="expression" dxfId="735" priority="23" stopIfTrue="1">
      <formula>$AU$17=3</formula>
    </cfRule>
  </conditionalFormatting>
  <conditionalFormatting sqref="AC25:AD25 AJ26:AJ27">
    <cfRule type="expression" dxfId="734" priority="274">
      <formula>$AU$25=4</formula>
    </cfRule>
  </conditionalFormatting>
  <conditionalFormatting sqref="AC28:AD28 AM28:AN28">
    <cfRule type="expression" dxfId="733" priority="22" stopIfTrue="1">
      <formula>$AU$17=4</formula>
    </cfRule>
  </conditionalFormatting>
  <conditionalFormatting sqref="AC8:AG8">
    <cfRule type="expression" dxfId="732" priority="286">
      <formula>$AU$25=3</formula>
    </cfRule>
  </conditionalFormatting>
  <conditionalFormatting sqref="AC24:AG24">
    <cfRule type="expression" dxfId="731" priority="283">
      <formula>$AU$25=4</formula>
    </cfRule>
  </conditionalFormatting>
  <conditionalFormatting sqref="AD10:AD12 AB19:AC19">
    <cfRule type="expression" dxfId="730" priority="268">
      <formula>$AU$25=1</formula>
    </cfRule>
  </conditionalFormatting>
  <conditionalFormatting sqref="AD14:AD21">
    <cfRule type="expression" dxfId="729" priority="267">
      <formula>$AU$25=1</formula>
    </cfRule>
  </conditionalFormatting>
  <conditionalFormatting sqref="AE10:AE16">
    <cfRule type="expression" dxfId="728" priority="284">
      <formula>$AU$25=1</formula>
    </cfRule>
  </conditionalFormatting>
  <conditionalFormatting sqref="AF9:AK9">
    <cfRule type="expression" dxfId="727" priority="271">
      <formula>$AU$25=3</formula>
    </cfRule>
  </conditionalFormatting>
  <conditionalFormatting sqref="AF25:AK25">
    <cfRule type="expression" dxfId="726" priority="273">
      <formula>$AU$25=4</formula>
    </cfRule>
  </conditionalFormatting>
  <conditionalFormatting sqref="AG6:AH6">
    <cfRule type="expression" dxfId="725" priority="17" stopIfTrue="1">
      <formula>$AU$24="3_3"</formula>
    </cfRule>
  </conditionalFormatting>
  <conditionalFormatting sqref="AG28:AH28">
    <cfRule type="expression" dxfId="724" priority="16" stopIfTrue="1">
      <formula>$AU$24="4_3"</formula>
    </cfRule>
  </conditionalFormatting>
  <conditionalFormatting sqref="AJ7:AJ8 AC9:AD9">
    <cfRule type="expression" dxfId="723" priority="272">
      <formula>$AU$25=3</formula>
    </cfRule>
  </conditionalFormatting>
  <conditionalFormatting sqref="AL19:AL25">
    <cfRule type="expression" dxfId="722" priority="285">
      <formula>$AU$25=2</formula>
    </cfRule>
  </conditionalFormatting>
  <conditionalFormatting sqref="AM14:AM21">
    <cfRule type="expression" dxfId="721" priority="269">
      <formula>$AU$25=2</formula>
    </cfRule>
  </conditionalFormatting>
  <conditionalFormatting sqref="AN19:AO19 AM23:AM25">
    <cfRule type="expression" dxfId="720" priority="270">
      <formula>$AU$25=2</formula>
    </cfRule>
  </conditionalFormatting>
  <conditionalFormatting sqref="AO6 AP6:AP7 AP27 AO28:AP28">
    <cfRule type="expression" dxfId="719" priority="7" stopIfTrue="1">
      <formula>$AV$17=2</formula>
    </cfRule>
  </conditionalFormatting>
  <conditionalFormatting sqref="AP9:AP10 AP24:AP25">
    <cfRule type="expression" dxfId="718" priority="18" stopIfTrue="1">
      <formula>$AU$17=2</formula>
    </cfRule>
  </conditionalFormatting>
  <conditionalFormatting sqref="AP16:AP17">
    <cfRule type="expression" dxfId="717"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B36:B91</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$O$65:$O$71</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$P$82:$P$90</formula1>
    </dataValidation>
    <dataValidation type="list" allowBlank="1" showInputMessage="1" showErrorMessage="1" sqref="H25:Q25" xr:uid="{5AC7296A-233F-40AD-BFAF-17AF8A9C5039}">
      <formula1>$AD$54:$AD$97</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36F32262B95F28429582A731454DAC22" ma:contentTypeVersion="9" ma:contentTypeDescription="Vytvoří nový dokument" ma:contentTypeScope="" ma:versionID="bfcf789e7637b0419aba8c2ecb10c0f8">
  <xsd:schema xmlns:xsd="http://www.w3.org/2001/XMLSchema" xmlns:xs="http://www.w3.org/2001/XMLSchema" xmlns:p="http://schemas.microsoft.com/office/2006/metadata/properties" xmlns:ns2="2c8825e3-4848-4b63-9b10-965fc9c256c4" xmlns:ns3="64fddb11-1e6d-45a8-860c-ea134d1632ab" targetNamespace="http://schemas.microsoft.com/office/2006/metadata/properties" ma:root="true" ma:fieldsID="cdb95f13ee6376e0ce0ca202827a2c51" ns2:_="" ns3:_="">
    <xsd:import namespace="2c8825e3-4848-4b63-9b10-965fc9c256c4"/>
    <xsd:import namespace="64fddb11-1e6d-45a8-860c-ea134d1632a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8825e3-4848-4b63-9b10-965fc9c256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db11-1e6d-45a8-860c-ea134d1632ab" elementFormDefault="qualified">
    <xsd:import namespace="http://schemas.microsoft.com/office/2006/documentManagement/types"/>
    <xsd:import namespace="http://schemas.microsoft.com/office/infopath/2007/PartnerControls"/>
    <xsd:element name="SharedWithUsers" ma:index="10"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63DC5C0-9A8E-44A5-8971-A70FA6400C5D}">
  <ds:schemaRefs>
    <ds:schemaRef ds:uri="http://schemas.microsoft.com/sharepoint/v3/contenttype/forms"/>
  </ds:schemaRefs>
</ds:datastoreItem>
</file>

<file path=customXml/itemProps2.xml><?xml version="1.0" encoding="utf-8"?>
<ds:datastoreItem xmlns:ds="http://schemas.openxmlformats.org/officeDocument/2006/customXml" ds:itemID="{050BD8CA-DF8C-45D3-BB77-7ECB600C0F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8825e3-4848-4b63-9b10-965fc9c256c4"/>
    <ds:schemaRef ds:uri="64fddb11-1e6d-45a8-860c-ea134d163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83E9FC-7A4F-40D8-8A52-81C734DA3A8D}">
  <ds:schemaRefs>
    <ds:schemaRef ds:uri="http://purl.org/dc/terms/"/>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2c8825e3-4848-4b63-9b10-965fc9c256c4"/>
    <ds:schemaRef ds:uri="http://purl.org/dc/dcmitype/"/>
    <ds:schemaRef ds:uri="http://schemas.openxmlformats.org/package/2006/metadata/core-properties"/>
    <ds:schemaRef ds:uri="64fddb11-1e6d-45a8-860c-ea134d1632a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30</vt:i4>
      </vt:variant>
      <vt:variant>
        <vt:lpstr>Pojmenované oblasti</vt:lpstr>
      </vt:variant>
      <vt:variant>
        <vt:i4>174</vt:i4>
      </vt:variant>
    </vt:vector>
  </HeadingPairs>
  <TitlesOfParts>
    <vt:vector size="204" baseType="lpstr">
      <vt:lpstr>Hlavní</vt:lpstr>
      <vt:lpstr>Zakaznik</vt:lpstr>
      <vt:lpstr>cennik transportu PL</vt:lpstr>
      <vt:lpstr>Sklo</vt:lpstr>
      <vt:lpstr>rozpad závěsů bez prázdn. řádků</vt:lpstr>
      <vt:lpstr>Translate&amp;Prices&amp;Logo</vt:lpstr>
      <vt:lpstr>Potvrzení</vt:lpstr>
      <vt:lpstr>závěsy dle výklopu</vt:lpstr>
      <vt:lpstr>Ram_1</vt:lpstr>
      <vt:lpstr>kombinace_1</vt:lpstr>
      <vt:lpstr>Ram_2</vt:lpstr>
      <vt:lpstr>kombinace_2</vt:lpstr>
      <vt:lpstr>Ram_3</vt:lpstr>
      <vt:lpstr>kombinace_3</vt:lpstr>
      <vt:lpstr>Ram_4</vt:lpstr>
      <vt:lpstr>kombinace_4</vt:lpstr>
      <vt:lpstr>Ram_5</vt:lpstr>
      <vt:lpstr>kombinace_5</vt:lpstr>
      <vt:lpstr>Ram_6</vt:lpstr>
      <vt:lpstr>kombinace_6</vt:lpstr>
      <vt:lpstr>Ram_2_zaloha_old</vt:lpstr>
      <vt:lpstr>Posuv</vt:lpstr>
      <vt:lpstr>kombinace_posuv</vt:lpstr>
      <vt:lpstr>Typy profilů</vt:lpstr>
      <vt:lpstr>_souhrn</vt:lpstr>
      <vt:lpstr>Barevnice</vt:lpstr>
      <vt:lpstr>_souhrn (2)</vt:lpstr>
      <vt:lpstr>_souhrn (3)</vt:lpstr>
      <vt:lpstr>POMOC SEZNAM PANTU</vt:lpstr>
      <vt:lpstr>Ceny_n</vt:lpstr>
      <vt:lpstr>_1</vt:lpstr>
      <vt:lpstr>_10</vt:lpstr>
      <vt:lpstr>_11</vt:lpstr>
      <vt:lpstr>_12</vt:lpstr>
      <vt:lpstr>_2</vt:lpstr>
      <vt:lpstr>_3</vt:lpstr>
      <vt:lpstr>_4</vt:lpstr>
      <vt:lpstr>_5</vt:lpstr>
      <vt:lpstr>_6</vt:lpstr>
      <vt:lpstr>_7</vt:lpstr>
      <vt:lpstr>_8</vt:lpstr>
      <vt:lpstr>_9</vt:lpstr>
      <vt:lpstr>kombinace_posuv!_A1</vt:lpstr>
      <vt:lpstr>_A1</vt:lpstr>
      <vt:lpstr>kombinace_posuv!_A2</vt:lpstr>
      <vt:lpstr>_A2</vt:lpstr>
      <vt:lpstr>kombinace_posuv!_A3</vt:lpstr>
      <vt:lpstr>_A3</vt:lpstr>
      <vt:lpstr>_corleone</vt:lpstr>
      <vt:lpstr>kombinace_posuv!_kombinovane_profily</vt:lpstr>
      <vt:lpstr>_kombinovane_profily</vt:lpstr>
      <vt:lpstr>kombinace_posuv!_N1</vt:lpstr>
      <vt:lpstr>_N1</vt:lpstr>
      <vt:lpstr>kombinace_posuv!_N2</vt:lpstr>
      <vt:lpstr>_N2</vt:lpstr>
      <vt:lpstr>kombinace_posuv!_N3</vt:lpstr>
      <vt:lpstr>_N3</vt:lpstr>
      <vt:lpstr>kombinace_posuv!_pocet_sprzosy</vt:lpstr>
      <vt:lpstr>_profily_síťka</vt:lpstr>
      <vt:lpstr>_ramena_HL</vt:lpstr>
      <vt:lpstr>_Salice_naložený</vt:lpstr>
      <vt:lpstr>_strong_vzpera_horni</vt:lpstr>
      <vt:lpstr>_stronglift_klopna</vt:lpstr>
      <vt:lpstr>kombinace_posuv!_široký_Automatická_vzpěra</vt:lpstr>
      <vt:lpstr>kombinace_posuv!_široký_Aventos_HF</vt:lpstr>
      <vt:lpstr>kombinace_posuv!_široký_Aventos_HK_XS</vt:lpstr>
      <vt:lpstr>_široký_BLUM_naložený</vt:lpstr>
      <vt:lpstr>_široký_BLUM_polonaložený</vt:lpstr>
      <vt:lpstr>_široký_BLUM_vložený</vt:lpstr>
      <vt:lpstr>kombinace_posuv!_široký_Duo</vt:lpstr>
      <vt:lpstr>kombinace_posuv!_široký_Duo_Forte</vt:lpstr>
      <vt:lpstr>kombinace_posuv!_široký_FREEfold</vt:lpstr>
      <vt:lpstr>kombinace_posuv!_široký_FREElight</vt:lpstr>
      <vt:lpstr>_široký_HETTICH_naložený</vt:lpstr>
      <vt:lpstr>_široký_HETTICH_polonaložený</vt:lpstr>
      <vt:lpstr>_široký_HETTICH_vložený</vt:lpstr>
      <vt:lpstr>kombinace_posuv!_široký_K12</vt:lpstr>
      <vt:lpstr>kombinace_posuv!_široký_Kiaro</vt:lpstr>
      <vt:lpstr>kombinace_posuv!_široký_Kraby</vt:lpstr>
      <vt:lpstr>kombinace_posuv!_široký_LiftMini</vt:lpstr>
      <vt:lpstr>kombinace_posuv!_široký_Link</vt:lpstr>
      <vt:lpstr>kombinace_posuv!_široký_Maxi</vt:lpstr>
      <vt:lpstr>kombinace_posuv!_široký_Polohovací_vzpěra</vt:lpstr>
      <vt:lpstr>kombinace_posuv!_široký_Spodní_K12</vt:lpstr>
      <vt:lpstr>kombinace_posuv!_široký_Spodní_Kraby</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kombinace_posuv!_umisteni_zavesu</vt:lpstr>
      <vt:lpstr>kombinace_posuv!_umisteni_zavesu_vyklop</vt:lpstr>
      <vt:lpstr>kombinace_posuv!_Úzký_Automatická_vzpěra</vt:lpstr>
      <vt:lpstr>kombinace_posuv!_Úzký_Aventos_HK_XS</vt:lpstr>
      <vt:lpstr>_úzký_BLUM_naložený</vt:lpstr>
      <vt:lpstr>_úzký_BLUM_naložený_Rocca</vt:lpstr>
      <vt:lpstr>_úzký_BLUM_polonaložený</vt:lpstr>
      <vt:lpstr>_úzký_BLUM_polonaložený_Rocca</vt:lpstr>
      <vt:lpstr>_úzký_BLUM_vložený</vt:lpstr>
      <vt:lpstr>_úzký_BLUM_vložený_Rocca</vt:lpstr>
      <vt:lpstr>kombinace_posuv!_Úzký_Duo</vt:lpstr>
      <vt:lpstr>kombinace_posuv!_Úzký_Duo_Forte</vt:lpstr>
      <vt:lpstr>kombinace_posuv!_Úzký_FREEfold</vt:lpstr>
      <vt:lpstr>kombinace_posuv!_Úzký_FREElight</vt:lpstr>
      <vt:lpstr>_úzký_HETTICH_naložený</vt:lpstr>
      <vt:lpstr>_úzký_HETTICH_polonaložený</vt:lpstr>
      <vt:lpstr>_úzký_HETTICH_vložený</vt:lpstr>
      <vt:lpstr>kombinace_posuv!_Úzký_K12</vt:lpstr>
      <vt:lpstr>kombinace_posuv!_Úzký_Kiaro</vt:lpstr>
      <vt:lpstr>kombinace_posuv!_Úzký_Kraby</vt:lpstr>
      <vt:lpstr>kombinace_posuv!_Úzký_LiftMini</vt:lpstr>
      <vt:lpstr>kombinace_posuv!_Úzký_Link</vt:lpstr>
      <vt:lpstr>kombinace_posuv!_Úzký_Maxi</vt:lpstr>
      <vt:lpstr>kombinace_posuv!_Úzký_Polohovací_vzpěra</vt:lpstr>
      <vt:lpstr>kombinace_posuv!_Úzký_Spodní_K12</vt:lpstr>
      <vt:lpstr>kombinace_posuv!_Úzký_Spodní_Kraby</vt:lpstr>
      <vt:lpstr>_úzký_STRONGHINGESS3_naložený</vt:lpstr>
      <vt:lpstr>_úzký_STRONGHINGESS5_naložený</vt:lpstr>
      <vt:lpstr>_varna_panty_svisle</vt:lpstr>
      <vt:lpstr>kombinace_posuv!_vše_profily</vt:lpstr>
      <vt:lpstr>_vše_profily</vt:lpstr>
      <vt:lpstr>kombinace_2!_vyklopy_blum</vt:lpstr>
      <vt:lpstr>kombinace_3!_vyklopy_blum</vt:lpstr>
      <vt:lpstr>kombinace_4!_vyklopy_blum</vt:lpstr>
      <vt:lpstr>kombinace_5!_vyklopy_blum</vt:lpstr>
      <vt:lpstr>kombinace_6!_vyklopy_blum</vt:lpstr>
      <vt:lpstr>kombinace_posuv!_vyklopy_blum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kombinace_posuv!_vyklopy_hettich</vt:lpstr>
      <vt:lpstr>_vyklopy_hettich</vt:lpstr>
      <vt:lpstr>kombinace_2!_vyklopy_italiana</vt:lpstr>
      <vt:lpstr>kombinace_3!_vyklopy_italiana</vt:lpstr>
      <vt:lpstr>kombinace_4!_vyklopy_italiana</vt:lpstr>
      <vt:lpstr>kombinace_5!_vyklopy_italiana</vt:lpstr>
      <vt:lpstr>kombinace_6!_vyklopy_italiana</vt:lpstr>
      <vt:lpstr>kombinace_posuv!_vyklopy_italiana</vt:lpstr>
      <vt:lpstr>_vyklopy_italiana</vt:lpstr>
      <vt:lpstr>kombinace_2!_vyklopy_kesse</vt:lpstr>
      <vt:lpstr>kombinace_3!_vyklopy_kesse</vt:lpstr>
      <vt:lpstr>kombinace_4!_vyklopy_kesse</vt:lpstr>
      <vt:lpstr>kombinace_5!_vyklopy_kesse</vt:lpstr>
      <vt:lpstr>kombinace_6!_vyklopy_kesse</vt:lpstr>
      <vt:lpstr>kombinace_posuv!_vyklopy_kesse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kombinace_posuv!_vyklopy_strong</vt:lpstr>
      <vt:lpstr>_vyklopy_stronglift</vt:lpstr>
      <vt:lpstr>_výsuvy</vt:lpstr>
      <vt:lpstr>kombinace_2!_zavesy_blum</vt:lpstr>
      <vt:lpstr>kombinace_3!_zavesy_blum</vt:lpstr>
      <vt:lpstr>kombinace_4!_zavesy_blum</vt:lpstr>
      <vt:lpstr>kombinace_5!_zavesy_blum</vt:lpstr>
      <vt:lpstr>kombinace_6!_zavesy_blum</vt:lpstr>
      <vt:lpstr>kombinace_posuv!_zavesy_blum</vt:lpstr>
      <vt:lpstr>_zavesy_blum</vt:lpstr>
      <vt:lpstr>kombinace_2!_zavesy_hettich</vt:lpstr>
      <vt:lpstr>kombinace_3!_zavesy_hettich</vt:lpstr>
      <vt:lpstr>kombinace_4!_zavesy_hettich</vt:lpstr>
      <vt:lpstr>kombinace_5!_zavesy_hettich</vt:lpstr>
      <vt:lpstr>kombinace_6!_zavesy_hettich</vt:lpstr>
      <vt:lpstr>kombinace_posuv!_zavesy_hettich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kombinace_posuv!_zavesy_strong</vt:lpstr>
      <vt:lpstr>_zavesy_stronghingesS5</vt:lpstr>
      <vt:lpstr>kombinace_posuv!_znacka_vyklopy</vt:lpstr>
      <vt:lpstr>_znacka_vyklopy</vt:lpstr>
      <vt:lpstr>kombinace_posuv!_znacka_zavesy</vt:lpstr>
      <vt:lpstr>_znacka_zavesy</vt:lpstr>
      <vt:lpstr>_znacka_zavesy_proROMA</vt:lpstr>
      <vt:lpstr>DP</vt:lpstr>
      <vt:lpstr>dw</vt:lpstr>
      <vt:lpstr>ed</vt:lpstr>
      <vt:lpstr>Ceny_n!MAX_ROZ_RAM</vt:lpstr>
      <vt:lpstr>Ceny_n!MIN_POZ_ZAVES</vt:lpstr>
      <vt:lpstr>Ceny_n!MIN_POZ_ZAVES_80</vt:lpstr>
      <vt:lpstr>Ceny_n!MIN_ROZ_RAM</vt:lpstr>
      <vt:lpstr>_souhrn!Oblast_tisku</vt:lpstr>
      <vt:lpstr>'_souhrn (2)'!Oblast_tisku</vt:lpstr>
      <vt:lpstr>'_souhrn (3)'!Oblast_tisku</vt:lpstr>
      <vt:lpstr>Ram_1!Oblast_tisku</vt:lpstr>
      <vt:lpstr>Ram_2!Oblast_tisku</vt:lpstr>
      <vt:lpstr>Ram_3!Oblast_tisku</vt:lpstr>
      <vt:lpstr>Ram_4!Oblast_tisku</vt:lpstr>
      <vt:lpstr>Ram_5!Oblast_tisku</vt:lpstr>
      <vt:lpstr>Ram_6!Oblast_tisku</vt:lpstr>
      <vt:lpstr>VÝSUVY</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2025-02-27T11:53:14Z</cp:lastPrinted>
  <dcterms:created xsi:type="dcterms:W3CDTF">2008-11-20T10:06:03Z</dcterms:created>
  <dcterms:modified xsi:type="dcterms:W3CDTF">2026-01-27T06:34:12Z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0x01010036F32262B95F28429582A731454DAC22</vt:lpwstr>
  </property>
</Properties>
</file>