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Plocha/"/>
    </mc:Choice>
  </mc:AlternateContent>
  <xr:revisionPtr revIDLastSave="0" documentId="8_{E9E65532-753A-44BD-8D98-AC62707B8621}" xr6:coauthVersionLast="47" xr6:coauthVersionMax="47" xr10:uidLastSave="{00000000-0000-0000-0000-000000000000}"/>
  <workbookProtection workbookAlgorithmName="SHA-512" workbookHashValue="82Q/b1nQOFIMVv2iShOmMxTkJCsYFA4dKfS5g16cV9QOZ2qF6JUI0JUQcw5bNHhvQ7uIulO5WUWNJ1UR8kWWxg==" workbookSaltValue="MCNAVUxvqqhMbcMQLsPLYg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" i="3" l="1"/>
  <c r="A24" i="5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AE21" i="4"/>
  <c r="X21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1" i="4"/>
  <c r="A17" i="5" l="1"/>
  <c r="A37" i="5"/>
  <c r="A39" i="5"/>
  <c r="C12" i="8"/>
  <c r="D1" i="2" l="1"/>
  <c r="B57" i="2" l="1"/>
  <c r="B56" i="2"/>
  <c r="J17" i="3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5" i="5" l="1"/>
  <c r="J25" i="5"/>
  <c r="P25" i="5" s="1"/>
  <c r="C24" i="5"/>
  <c r="F8" i="3" s="1"/>
  <c r="J24" i="5"/>
  <c r="P24" i="5" s="1"/>
  <c r="J26" i="5"/>
  <c r="P26" i="5" s="1"/>
  <c r="C26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P37" i="5" s="1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AC22" i="3" l="1"/>
  <c r="AC10" i="3"/>
  <c r="AC21" i="3"/>
  <c r="AC9" i="3"/>
  <c r="AC20" i="3"/>
  <c r="AC8" i="3"/>
  <c r="AC19" i="3"/>
  <c r="B3" i="4"/>
  <c r="AC18" i="3"/>
  <c r="AC17" i="3"/>
  <c r="AC16" i="3"/>
  <c r="AC15" i="3"/>
  <c r="AC14" i="3"/>
  <c r="AC13" i="3"/>
  <c r="AC12" i="3"/>
  <c r="AC11" i="3"/>
  <c r="B9" i="3"/>
  <c r="B8" i="3"/>
  <c r="E8" i="3"/>
  <c r="E9" i="3"/>
  <c r="C10" i="8"/>
  <c r="C15" i="8" s="1"/>
  <c r="F6" i="3"/>
  <c r="B7" i="3" s="1"/>
  <c r="X10" i="3"/>
  <c r="A7" i="3"/>
  <c r="B1" i="4"/>
  <c r="B4" i="3"/>
  <c r="B5" i="3"/>
  <c r="U27" i="5"/>
  <c r="Q7" i="4" l="1"/>
  <c r="Q14" i="4"/>
  <c r="Q22" i="4"/>
  <c r="C13" i="8"/>
  <c r="W6" i="3"/>
  <c r="W5" i="3" s="1"/>
  <c r="D1" i="4"/>
  <c r="B6" i="1"/>
  <c r="B29" i="3" a="1"/>
  <c r="Q18" i="4" l="1"/>
  <c r="Q15" i="4"/>
  <c r="Q16" i="4"/>
  <c r="Q17" i="4"/>
  <c r="Q11" i="4"/>
  <c r="Q8" i="4"/>
  <c r="Q9" i="4"/>
  <c r="Q10" i="4"/>
  <c r="B29" i="3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<sst xmlns="http://schemas.openxmlformats.org/spreadsheetml/2006/main" count="921" uniqueCount="608">
  <si>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</si>
  <si>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</si>
  <si>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</si>
  <si>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</si>
  <si>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</si>
  <si>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</si>
  <si>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</si>
  <si>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</si>
  <si>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</si>
  <si>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</si>
  <si>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</si>
  <si>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</si>
  <si>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</si>
  <si>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</si>
  <si>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</si>
  <si>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</si>
  <si>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</si>
  <si>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</si>
  <si>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</si>
  <si>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</si>
  <si>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</si>
  <si>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</si>
  <si>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</si>
  <si>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</si>
  <si>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</si>
  <si>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</si>
  <si>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</si>
  <si>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</si>
  <si>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</si>
  <si>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</si>
  <si>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</si>
  <si>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</si>
  <si>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</si>
  <si>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</si>
  <si>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</si>
  <si>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</si>
  <si>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</si>
  <si>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</si>
  <si>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</si>
  <si>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</si>
  <si>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</si>
  <si>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</si>
  <si>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</si>
  <si>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</si>
  <si>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</si>
  <si>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</si>
  <si>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</si>
  <si>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</si>
  <si>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</si>
  <si>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</si>
  <si>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</si>
  <si>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</si>
  <si>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</si>
  <si>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</si>
  <si>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</si>
  <si>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</si>
  <si>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</si>
  <si>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</si>
  <si>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</si>
  <si>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</si>
  <si>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</si>
  <si>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</si>
  <si>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</si>
  <si>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</si>
  <si>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</si>
  <si>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</si>
  <si>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</si>
  <si>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</si>
  <si>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</si>
  <si>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</si>
  <si>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</si>
  <si>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</si>
  <si>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</si>
  <si>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</si>
  <si>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</si>
  <si>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</si>
  <si>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</si>
  <si>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</si>
  <si>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</si>
  <si>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</si>
  <si>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</si>
  <si>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</si>
  <si>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</si>
  <si>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</si>
  <si>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</si>
  <si>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</si>
  <si>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</si>
  <si>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</si>
  <si>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</si>
  <si>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</si>
  <si>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</si>
  <si>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</si>
  <si>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</si>
  <si>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</si>
  <si>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</si>
  <si>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</si>
  <si>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</si>
  <si>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</si>
  <si>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</si>
  <si>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</si>
  <si>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</si>
  <si>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</si>
  <si>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</si>
  <si>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</si>
  <si>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</si>
  <si>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</si>
  <si>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</si>
  <si>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</si>
  <si>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</si>
  <si>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</si>
  <si>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</si>
  <si>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</si>
  <si>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</si>
  <si>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</si>
  <si>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</si>
  <si>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</si>
  <si>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</si>
  <si>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</si>
  <si>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</si>
  <si>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</si>
  <si>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</si>
  <si>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</si>
  <si>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</si>
  <si>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</si>
  <si>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</si>
  <si>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</si>
  <si>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</si>
  <si>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</si>
  <si>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</si>
  <si>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</si>
  <si>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</si>
  <si>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</si>
  <si>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</si>
  <si>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</si>
  <si>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</si>
  <si>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</si>
  <si>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</si>
  <si>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</si>
  <si>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</si>
  <si>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</si>
  <si>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</si>
  <si>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</si>
  <si>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</si>
  <si>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</si>
  <si>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</si>
  <si>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</si>
  <si>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</si>
  <si>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</si>
  <si>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</si>
  <si>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</si>
  <si>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</si>
  <si>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</si>
  <si>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</si>
  <si>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</si>
  <si>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</si>
  <si>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</si>
  <si>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</si>
  <si>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</si>
  <si>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</si>
  <si>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</si>
  <si>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</si>
  <si>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</si>
  <si>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</si>
  <si>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</si>
  <si>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</si>
  <si>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</si>
  <si>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</si>
  <si>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</si>
  <si>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</si>
  <si>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</si>
  <si>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</si>
  <si>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</si>
  <si>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</si>
  <si>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</si>
  <si>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</si>
  <si>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</si>
  <si>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</si>
  <si>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</si>
  <si>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</si>
  <si>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</si>
  <si>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</si>
  <si>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</si>
  <si>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</si>
  <si>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</si>
  <si>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</si>
  <si>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</si>
  <si>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</si>
  <si>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</si>
  <si>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</si>
  <si>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</si>
  <si>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</si>
  <si>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</si>
  <si>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</si>
  <si>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</si>
  <si>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</si>
  <si>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</si>
  <si>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</si>
  <si>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</si>
  <si>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</si>
  <si>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</si>
  <si>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</si>
  <si>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</si>
  <si>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</si>
  <si>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</si>
  <si>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</si>
  <si>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</si>
  <si>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</si>
  <si>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</si>
  <si>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</si>
  <si>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</si>
  <si>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</si>
  <si>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</si>
  <si>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</si>
  <si>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</si>
  <si>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</si>
  <si>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</si>
  <si>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</si>
  <si>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</si>
  <si>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</si>
  <si>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</si>
  <si>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</si>
  <si>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</si>
  <si>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</si>
  <si>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</si>
  <si>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</si>
  <si>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</si>
  <si>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</si>
  <si>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</si>
  <si>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</si>
  <si>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</si>
  <si>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</si>
  <si>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</si>
  <si>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</si>
  <si>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</si>
  <si>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</si>
  <si>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</si>
  <si>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</si>
  <si>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</si>
  <si>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</si>
  <si>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</si>
  <si>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</si>
  <si>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</si>
  <si>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</si>
  <si>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</si>
  <si>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</si>
  <si>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</si>
  <si>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</si>
  <si>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</si>
  <si>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</si>
  <si>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</si>
  <si>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</si>
  <si>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</si>
  <si>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</si>
  <si>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</si>
  <si>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</si>
  <si>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</si>
  <si>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</si>
  <si>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</si>
  <si>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</si>
  <si>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</si>
  <si>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</si>
  <si>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</si>
  <si>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</si>
  <si>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</si>
  <si>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</si>
  <si>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</si>
  <si>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</si>
  <si>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</si>
  <si>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</si>
  <si>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</si>
  <si>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</si>
  <si>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</si>
  <si>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</si>
  <si>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</si>
  <si>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</si>
  <si>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</si>
  <si>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</si>
  <si>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</si>
  <si>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</si>
  <si>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</si>
  <si>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</si>
  <si>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</si>
  <si>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</si>
  <si>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</si>
  <si>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</si>
  <si>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</si>
  <si>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</si>
  <si>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</si>
  <si>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</si>
  <si>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</si>
  <si>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</si>
  <si>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</si>
  <si>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</si>
  <si>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</si>
  <si>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</si>
  <si>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</si>
  <si>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</si>
  <si>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</si>
  <si>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</si>
  <si>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</si>
  <si>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</si>
  <si>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</si>
  <si>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</si>
  <si>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</si>
  <si>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</si>
  <si>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</si>
  <si>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</si>
  <si>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</si>
  <si>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</si>
  <si>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</si>
  <si>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</si>
  <si>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</si>
  <si>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</si>
  <si>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</si>
  <si>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</si>
  <si>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</si>
  <si>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</si>
  <si>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</si>
  <si>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</si>
  <si>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</si>
  <si>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</si>
  <si>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</si>
  <si>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</si>
  <si>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</si>
  <si>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</si>
  <si>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</si>
  <si>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</si>
  <si>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</si>
  <si>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</si>
  <si>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</si>
  <si>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</si>
  <si>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</si>
  <si>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</si>
  <si>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</si>
  <si>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</si>
  <si>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</si>
  <si>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</si>
  <si>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</si>
  <si>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</si>
  <si>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</si>
  <si>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</si>
  <si>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</si>
  <si>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</si>
  <si>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</si>
  <si>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</si>
  <si>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</si>
  <si>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</si>
  <si>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</si>
  <si>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</si>
  <si>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</si>
  <si>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</si>
  <si>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</si>
  <si>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</si>
  <si>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</si>
  <si>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</si>
  <si>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</si>
  <si>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</si>
  <si>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</si>
  <si>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</si>
  <si>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</si>
  <si>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</si>
  <si>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</si>
  <si>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</si>
  <si>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</si>
  <si>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</si>
  <si>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</si>
  <si>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</si>
  <si>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</si>
  <si>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</si>
  <si>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</si>
  <si>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</si>
  <si>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</si>
  <si>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</si>
  <si>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</si>
  <si>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</si>
  <si>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</si>
  <si>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</si>
  <si>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</si>
  <si>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</si>
  <si>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</si>
  <si>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</si>
  <si>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</si>
  <si>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</si>
  <si>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</si>
  <si>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</si>
  <si>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</si>
  <si>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</si>
  <si>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</si>
  <si>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</si>
  <si>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</si>
  <si>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</si>
  <si>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</si>
  <si>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</si>
  <si>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</si>
  <si>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</si>
  <si>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</si>
  <si>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</si>
  <si>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</si>
  <si>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</si>
  <si>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</si>
  <si>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</si>
  <si>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</si>
  <si>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</si>
  <si>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</si>
  <si>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</si>
  <si>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</si>
  <si>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</si>
  <si>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</si>
  <si>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</si>
  <si>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</si>
  <si>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</si>
  <si>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</si>
  <si>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</si>
  <si>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</si>
  <si>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</si>
  <si>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</si>
  <si>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</si>
  <si>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</si>
  <si>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</si>
  <si>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</si>
  <si>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</si>
  <si>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</si>
  <si>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</si>
  <si>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</si>
  <si>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</si>
  <si>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</si>
  <si>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</si>
  <si>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</si>
  <si>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</si>
  <si>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</si>
  <si>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</si>
  <si>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</si>
  <si>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</si>
  <si>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</si>
  <si>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</si>
  <si>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</si>
  <si>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</si>
  <si>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</si>
  <si>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</si>
  <si>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</si>
  <si>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</si>
  <si>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</si>
  <si>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</si>
  <si>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</si>
  <si>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</si>
  <si>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</si>
  <si>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</si>
  <si>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</si>
  <si>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</si>
  <si>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</si>
  <si>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</si>
  <si>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</si>
  <si>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</si>
  <si>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</si>
  <si>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</si>
  <si>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</si>
  <si>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</si>
  <si>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</si>
  <si>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</si>
  <si>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</si>
  <si>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</si>
  <si>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</si>
  <si>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</si>
  <si>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</si>
  <si>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</si>
  <si>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</si>
  <si>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</si>
  <si>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</si>
  <si>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</si>
  <si>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</si>
  <si>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</si>
  <si>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</si>
  <si>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</si>
  <si>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</si>
  <si>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</si>
  <si>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</si>
  <si>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</si>
  <si>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</si>
  <si>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</si>
  <si>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</si>
  <si>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</si>
  <si>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</si>
  <si>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</si>
  <si>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</si>
  <si>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</si>
  <si>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</si>
  <si>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</si>
  <si>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</si>
  <si>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</si>
  <si>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</si>
  <si>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</si>
  <si>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</si>
  <si>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</si>
  <si>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</si>
  <si>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</si>
  <si>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</si>
  <si>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</si>
  <si>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</si>
  <si>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</si>
  <si>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</si>
  <si>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</si>
  <si>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</si>
  <si>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</si>
  <si>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</si>
  <si>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</si>
  <si>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</si>
  <si>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</si>
  <si>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</si>
  <si>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</si>
  <si>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</si>
  <si>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</si>
  <si>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</si>
  <si>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</si>
  <si>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</si>
  <si>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</si>
  <si>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</si>
  <si>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</si>
  <si>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</si>
  <si>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</si>
  <si>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</si>
  <si>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</si>
  <si>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</si>
  <si>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</si>
  <si>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</si>
  <si>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</si>
  <si>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</si>
  <si>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</si>
  <si>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</si>
  <si>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</si>
  <si>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</si>
  <si>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</si>
  <si>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</si>
  <si>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</si>
  <si>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</si>
  <si>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</si>
  <si>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</si>
  <si>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</si>
  <si>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</si>
  <si>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</si>
  <si>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</si>
  <si>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</si>
  <si>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</si>
  <si>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</si>
  <si>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</si>
  <si>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</si>
  <si>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</si>
  <si>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</si>
  <si>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</si>
  <si>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</si>
  <si>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</si>
  <si>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</si>
  <si>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</si>
  <si>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</si>
  <si>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</si>
  <si>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</si>
  <si>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</si>
  <si>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</si>
  <si>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</si>
  <si>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</si>
  <si>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</si>
  <si>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</si>
  <si>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</si>
  <si>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</si>
  <si>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</si>
  <si>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</si>
  <si>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</si>
  <si>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</si>
  <si>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</si>
  <si>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</si>
  <si>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</si>
  <si>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</si>
  <si>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</si>
  <si>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</si>
  <si>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</si>
  <si>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</si>
  <si>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</si>
  <si>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</si>
  <si>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</si>
  <si>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1.04</t>
  </si>
  <si>
    <t>BLUM ABD.1000 Merivobox/Aventos top, vnější krytka pro potisk, bílá</t>
  </si>
  <si>
    <t>BLUM ABD.1000 Merivobox/Aventos top, vonkajšia krytka na potlač, biela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</si>
  <si>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</si>
  <si>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</si>
  <si>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</si>
  <si>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</si>
  <si>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zewnętrzna do nadruku, biała</t>
  </si>
  <si>
    <t>BLUM ABD.1000 Merivobox/Aventos top, zaślepka zewn. do nadruku, jasnoszara IG</t>
  </si>
  <si>
    <t>BLUM ABD.1000 Merivobox/Aventos top, zaślepka zew do nadruku, ciemnoszara OG</t>
  </si>
  <si>
    <t>Blum Abd.1000 Merivobox/Aventos Top, Outer Cover Cap For Printing, White</t>
  </si>
  <si>
    <t>Blum Abd.1000 Merivobox/Aventos Top, Outer Cover Cap For Printing, Light Grey Ig</t>
  </si>
  <si>
    <t>Blum Abd.1000 Merivobox/Aventos Top, Outer Cover Cap For Printing, Dark Grey Og</t>
  </si>
  <si>
    <t>Nákupní ceny</t>
  </si>
  <si>
    <t>487887 BLUM ABD.1000 Merivobox/Aventos top, vnější krytka pro potisk, bílá</t>
  </si>
  <si>
    <t>487888 BLUM ABD.1000 Merivobox/Aventos top, vnější krytka pro potisk, světle šedá IG</t>
  </si>
  <si>
    <t>487889 BLUM ABD.1000 Merivobox/Aventos top, vnější krytka pro potisk, tmavě šedá OG</t>
  </si>
  <si>
    <t>Vybranou krytku nemáme skladem, proto se prodlouží termín dodání o 5-15 pracovních dnů. Zároveň lze objednávat množství v násobcích 1000 ks.</t>
  </si>
  <si>
    <t>Množství (min. 1000 ks)</t>
  </si>
  <si>
    <t>Množstvo (min. 1000 ks)</t>
  </si>
  <si>
    <t>Ilość (min. 1000 szt.)</t>
  </si>
  <si>
    <t>Mennyiség (min. 1000 db)</t>
  </si>
  <si>
    <t>Quantity (min. 1000 pcs)</t>
  </si>
  <si>
    <t>Quantité (min. 1000 pcs)</t>
  </si>
  <si>
    <t>Vybranú krytku nemáme na sklade, preto sa predĺži termín dodania o 5-15 pracovných dní. Zároveň je možné objednávať množstvo v násobkoch 1000 ks.</t>
  </si>
  <si>
    <t>Wybranej zaślepki nie mamy na magazynie, dlatego termin dostawy wydłuży się o 5–15 dni roboczych. Jednocześnie można zamawiać ilości w wielokrotnościach 1000 szt.</t>
  </si>
  <si>
    <t>We do not keep the selected cover cap in stock, therefore the delivery time will be extended by 5-15 working days. At the same time, it is possible to order quantities in multiples of 1000 pieces.</t>
  </si>
  <si>
    <t>Nous ne disposons pas en stock du bouchon obturateur sélectionné ; le délai de livraison sera donc prolongé de 5 à 15 jours ouvrables. Il est toutefois possible de commander des quantités par multiples de 1 000 pièces.</t>
  </si>
  <si>
    <t>Zaślepka StrongMax 16/18 do nadruku , szara</t>
  </si>
  <si>
    <t>A kiválasztott takaróelem nincs raktáron, ezért a szállítási határidő 5–15 munkanappal meghosszabbodik. Egyúttal csak 1000 darabos többszörös mennyiség rendelhető.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</si>
</sst>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0" fillId="0" borderId="0"/>
  </cellStyleXfs>
  <cellXfs count="93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7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7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49" fontId="30" fillId="0" borderId="0" xfId="11" applyNumberFormat="1"/>
    <xf numFmtId="0" fontId="0" fillId="0" borderId="0" xfId="0" applyAlignment="1" applyProtection="1">
      <alignment wrapTex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" fontId="24" fillId="0" borderId="0" xfId="0" applyNumberFormat="1" applyFont="1" applyProtection="1">
      <protection locked="0" hidden="1"/>
    </xf>
    <xf numFmtId="0" fontId="24" fillId="0" borderId="0" xfId="0" applyFont="1" applyProtection="1">
      <protection hidden="1"/>
    </xf>
    <xf numFmtId="0" fontId="24" fillId="0" borderId="0" xfId="0" applyFont="1" applyProtection="1">
      <protection locked="0" hidden="1"/>
    </xf>
    <xf numFmtId="1" fontId="24" fillId="0" borderId="0" xfId="0" applyNumberFormat="1" applyFont="1" applyProtection="1">
      <protection hidden="1"/>
    </xf>
    <xf numFmtId="3" fontId="0" fillId="3" borderId="0" xfId="0" applyNumberFormat="1" applyFill="1" applyProtection="1">
      <protection hidden="1"/>
    </xf>
    <xf numFmtId="0" fontId="0" fillId="0" borderId="0" xfId="0" applyAlignment="1">
      <alignment horizontal="center" wrapText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29" fillId="2" borderId="3" xfId="4" applyFont="1" applyFill="1" applyBorder="1" applyAlignment="1" applyProtection="1">
      <alignment horizontal="center" vertical="center"/>
      <protection hidden="1"/>
    </xf>
    <xf numFmtId="0" fontId="29" fillId="2" borderId="0" xfId="4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4E0FE589-BCA7-481D-9CA1-453EC714550A}"/>
    <cellStyle name="Procenta 2" xfId="5" xr:uid="{829EDB4D-9710-47E1-98D0-E12ACFC77EBA}"/>
  </cellStyles>
  <dxfs count="22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border>
        <left/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  <border>
        <left style="thin">
          <color auto="1"/>
        </left>
        <right/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8573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8" t="str">
        <f>překlady!B39</f>
        <v>Next&gt;</v>
      </c>
      <c r="M2" s="68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9" t="str">
        <f>překlady!B5</f>
        <v>Cover cap configurator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Version 1.04</v>
      </c>
    </row>
    <row r="29" spans="1:14" hidden="1" x14ac:dyDescent="0.25">
      <c r="N29" s="25">
        <v>5</v>
      </c>
    </row>
  </sheetData>
  <sheetProtection algorithmName="SHA-512" hashValue="0IuiI5trlQg1M//hQoWIK0MhMn6Jem6VSmbdiA/T37ucZHWkRvPbuNNfnqL91XfgL8CXzMi/Krmhm2nPZjUEow==" saltValue="sfbOts9XdJRIf8TCbW+0LA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70" t="str">
        <f>překlady!B28</f>
        <v>Introduction</v>
      </c>
      <c r="R2" s="68"/>
      <c r="S2" s="68"/>
      <c r="T2" s="68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70"/>
      <c r="R3" s="68"/>
      <c r="S3" s="68"/>
      <c r="T3" s="68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1" t="str">
        <f>překlady!B29</f>
        <v>Always use the current version of the configurator form, available on our website.</v>
      </c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</row>
    <row r="8" spans="1:23" ht="15.75" customHeight="1" x14ac:dyDescent="0.25">
      <c r="E8" s="14" t="str">
        <f>překlady!B30</f>
        <v>Please fill in your contact details and then click on the desired field below.</v>
      </c>
    </row>
    <row r="9" spans="1:23" ht="10.9" customHeight="1" x14ac:dyDescent="0.25"/>
    <row r="10" spans="1:23" ht="6.6" customHeight="1" x14ac:dyDescent="0.25"/>
    <row r="11" spans="1:23" x14ac:dyDescent="0.25">
      <c r="E11" s="72" t="str">
        <f>překlady!B31</f>
        <v>Order number</v>
      </c>
      <c r="F11" s="72"/>
      <c r="G11" s="72"/>
      <c r="H11" s="72"/>
      <c r="I11" s="72"/>
      <c r="J11" s="15"/>
      <c r="K11" s="73"/>
      <c r="L11" s="73"/>
      <c r="M11" s="73"/>
      <c r="N11" s="73"/>
      <c r="O11" s="73"/>
      <c r="P11" s="7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2" t="str">
        <f>překlady!B32</f>
        <v>Customer name</v>
      </c>
      <c r="F13" s="72"/>
      <c r="G13" s="72"/>
      <c r="H13" s="72"/>
      <c r="I13" s="72"/>
      <c r="J13" s="15"/>
      <c r="K13" s="73"/>
      <c r="L13" s="73"/>
      <c r="M13" s="73"/>
      <c r="N13" s="73"/>
      <c r="O13" s="73"/>
      <c r="P13" s="7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2" t="str">
        <f>překlady!B33</f>
        <v>Customer ID</v>
      </c>
      <c r="F15" s="72"/>
      <c r="G15" s="72"/>
      <c r="H15" s="72"/>
      <c r="I15" s="72"/>
      <c r="J15" s="15"/>
      <c r="K15" s="73"/>
      <c r="L15" s="73"/>
      <c r="M15" s="73"/>
      <c r="N15" s="73"/>
      <c r="O15" s="73"/>
      <c r="P15" s="7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2" t="str">
        <f>překlady!B34</f>
        <v>Contact phone number</v>
      </c>
      <c r="F17" s="72"/>
      <c r="G17" s="72"/>
      <c r="H17" s="72"/>
      <c r="I17" s="72"/>
      <c r="J17" s="15"/>
      <c r="K17" s="73"/>
      <c r="L17" s="73"/>
      <c r="M17" s="73"/>
      <c r="N17" s="73"/>
      <c r="O17" s="73"/>
      <c r="P17" s="7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4" t="str">
        <f>překlady!$B$53</f>
        <v>The usual leadtime for printing is 10 working days.</v>
      </c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4" t="str">
        <f>překlady!B35</f>
        <v>Shown prices are excluding VAT!</v>
      </c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1" t="str">
        <f>překlady!B36</f>
        <v>Please, proceed from top to bottom when filling in the form. If you make changes afterwards, check that the subsequent entries are correct.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</row>
    <row r="25" spans="2:19" x14ac:dyDescent="0.25">
      <c r="E25" s="80" t="str">
        <f>překlady!B41</f>
        <v>The order must include the logo graphic file in vector format and defined colours according to the Pantone colour guide.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</row>
    <row r="26" spans="2:19" x14ac:dyDescent="0.25">
      <c r="E26" s="17"/>
    </row>
    <row r="27" spans="2:19" x14ac:dyDescent="0.25">
      <c r="E27" s="80" t="str">
        <f>překlady!B37</f>
        <v>Send the filled out form to export@demos-trade.com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I confirm that I understand and accept above mentioned conditions and reccomendations.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70" t="str">
        <f>překlady!B40</f>
        <v>&lt;Back</v>
      </c>
      <c r="C32" s="68"/>
      <c r="J32" s="75"/>
      <c r="R32" s="77" t="str">
        <f>překlady!B39</f>
        <v>Next&gt;</v>
      </c>
      <c r="S32" s="78"/>
    </row>
    <row r="33" spans="2:19" ht="15.75" customHeight="1" thickBot="1" x14ac:dyDescent="0.3">
      <c r="B33" s="70"/>
      <c r="C33" s="68"/>
      <c r="J33" s="76"/>
      <c r="R33" s="77"/>
      <c r="S33" s="78"/>
    </row>
    <row r="35" spans="2:19" x14ac:dyDescent="0.25"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</row>
    <row r="36" spans="2:19" x14ac:dyDescent="0.25"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</row>
    <row r="37" spans="2:19" x14ac:dyDescent="0.25"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</row>
    <row r="38" spans="2:19" x14ac:dyDescent="0.25"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</row>
    <row r="40" spans="2:19" x14ac:dyDescent="0.25"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</row>
    <row r="41" spans="2:19" x14ac:dyDescent="0.25"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</row>
  </sheetData>
  <sheetProtection algorithmName="SHA-512" hashValue="2Q/SlzlkRe1XOx19BFT9mfgbnBcKLRp4BxccZ7R5OZuCFvAJ9QaGugJh/rjXE95rY/TBlflRdLgl3iofnm5gJA==" saltValue="f7TEyjWH5nph2E6Sxzut2w==" spinCount="100000" sheet="1" objects="1" scenarios="1"/>
  <mergeCells count="22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E19:P19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21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7"/>
  <sheetViews>
    <sheetView topLeftCell="A32" workbookViewId="0">
      <selection activeCell="F56" sqref="F56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Version </v>
      </c>
      <c r="B1" s="56" t="s">
        <v>578</v>
      </c>
      <c r="D1">
        <f>Úvod!N29</f>
        <v>5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510</v>
      </c>
    </row>
    <row r="3" spans="1:15" x14ac:dyDescent="0.25">
      <c r="B3" t="str">
        <f>IF($D$1=1,C:C,IF($D$1=2,D:D,IF($D$1=3,E:E,IF($D$1=4,F:F,IF($D$1=5,G:G,IF($D$1=6,H:H))))))</f>
        <v>anglicky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552</v>
      </c>
    </row>
    <row r="4" spans="1:15" x14ac:dyDescent="0.25">
      <c r="B4" t="str">
        <f t="shared" ref="B4:B56" si="0">IF($D$1=1,C:C,IF($D$1=2,D:D,IF($D$1=3,E:E,IF($D$1=4,F:F,IF($D$1=5,G:G,IF($D$1=6,H:H))))))</f>
        <v xml:space="preserve">Version </v>
      </c>
      <c r="C4" t="s">
        <v>409</v>
      </c>
      <c r="D4" t="s">
        <v>410</v>
      </c>
      <c r="E4" t="s">
        <v>456</v>
      </c>
      <c r="F4" t="s">
        <v>457</v>
      </c>
      <c r="G4" s="48" t="s">
        <v>500</v>
      </c>
      <c r="H4" t="s">
        <v>500</v>
      </c>
    </row>
    <row r="5" spans="1:15" x14ac:dyDescent="0.25">
      <c r="B5" t="str">
        <f t="shared" si="0"/>
        <v>Cover cap configurator</v>
      </c>
      <c r="C5" t="s">
        <v>10</v>
      </c>
      <c r="D5" t="s">
        <v>336</v>
      </c>
      <c r="E5" t="s">
        <v>414</v>
      </c>
      <c r="F5" t="s">
        <v>555</v>
      </c>
      <c r="G5" s="48" t="s">
        <v>458</v>
      </c>
      <c r="H5" s="54" t="s">
        <v>511</v>
      </c>
    </row>
    <row r="6" spans="1:15" x14ac:dyDescent="0.25">
      <c r="B6" t="str">
        <f t="shared" si="0"/>
        <v>Cover cap material</v>
      </c>
      <c r="C6" t="s">
        <v>13</v>
      </c>
      <c r="D6" t="s">
        <v>13</v>
      </c>
      <c r="E6" t="s">
        <v>415</v>
      </c>
      <c r="F6" t="s">
        <v>365</v>
      </c>
      <c r="G6" s="48" t="s">
        <v>459</v>
      </c>
      <c r="H6" s="30" t="s">
        <v>512</v>
      </c>
    </row>
    <row r="7" spans="1:15" x14ac:dyDescent="0.25">
      <c r="A7">
        <v>1</v>
      </c>
      <c r="B7" t="str">
        <f t="shared" si="0"/>
        <v>Plastic</v>
      </c>
      <c r="C7" t="s">
        <v>11</v>
      </c>
      <c r="D7" t="s">
        <v>11</v>
      </c>
      <c r="E7" t="s">
        <v>416</v>
      </c>
      <c r="F7" t="s">
        <v>366</v>
      </c>
      <c r="G7" s="48" t="s">
        <v>460</v>
      </c>
      <c r="H7" t="s">
        <v>513</v>
      </c>
    </row>
    <row r="8" spans="1:15" x14ac:dyDescent="0.25">
      <c r="A8">
        <v>2</v>
      </c>
      <c r="B8" t="str">
        <f t="shared" si="0"/>
        <v>Metal</v>
      </c>
      <c r="C8" t="s">
        <v>12</v>
      </c>
      <c r="D8" t="s">
        <v>12</v>
      </c>
      <c r="E8" t="s">
        <v>417</v>
      </c>
      <c r="F8" t="s">
        <v>367</v>
      </c>
      <c r="G8" s="48" t="s">
        <v>417</v>
      </c>
      <c r="H8" t="s">
        <v>514</v>
      </c>
    </row>
    <row r="9" spans="1:15" x14ac:dyDescent="0.25">
      <c r="B9" t="str">
        <f t="shared" si="0"/>
        <v>Quantity (min. 50 pcs)</v>
      </c>
      <c r="C9" t="s">
        <v>254</v>
      </c>
      <c r="D9" t="s">
        <v>337</v>
      </c>
      <c r="E9" t="s">
        <v>418</v>
      </c>
      <c r="F9" t="s">
        <v>368</v>
      </c>
      <c r="G9" s="48" t="s">
        <v>461</v>
      </c>
      <c r="H9" s="30" t="s">
        <v>515</v>
      </c>
    </row>
    <row r="10" spans="1:15" x14ac:dyDescent="0.25">
      <c r="B10" t="str">
        <f t="shared" si="0"/>
        <v>Number of logo colours (1-4)</v>
      </c>
      <c r="C10" t="s">
        <v>14</v>
      </c>
      <c r="D10" t="s">
        <v>338</v>
      </c>
      <c r="E10" t="s">
        <v>419</v>
      </c>
      <c r="F10" t="s">
        <v>369</v>
      </c>
      <c r="G10" s="48" t="s">
        <v>462</v>
      </c>
      <c r="H10" s="30" t="s">
        <v>516</v>
      </c>
    </row>
    <row r="11" spans="1:15" x14ac:dyDescent="0.25">
      <c r="B11" t="str">
        <f t="shared" si="0"/>
        <v>Print price</v>
      </c>
      <c r="C11" t="s">
        <v>221</v>
      </c>
      <c r="D11" t="s">
        <v>339</v>
      </c>
      <c r="E11" t="s">
        <v>420</v>
      </c>
      <c r="F11" t="s">
        <v>370</v>
      </c>
      <c r="G11" s="48" t="s">
        <v>463</v>
      </c>
      <c r="H11" s="30" t="s">
        <v>517</v>
      </c>
    </row>
    <row r="12" spans="1:15" x14ac:dyDescent="0.25">
      <c r="B12" t="str">
        <f t="shared" si="0"/>
        <v>Repeated print?</v>
      </c>
      <c r="C12" t="s">
        <v>28</v>
      </c>
      <c r="D12" t="s">
        <v>340</v>
      </c>
      <c r="E12" t="s">
        <v>421</v>
      </c>
      <c r="F12" t="s">
        <v>371</v>
      </c>
      <c r="G12" s="48" t="s">
        <v>464</v>
      </c>
      <c r="H12" s="30" t="s">
        <v>518</v>
      </c>
    </row>
    <row r="13" spans="1:15" ht="15" customHeight="1" x14ac:dyDescent="0.25">
      <c r="B13" t="str">
        <f t="shared" si="0"/>
        <v>Yes, the same order has been processed before</v>
      </c>
      <c r="C13" t="s">
        <v>329</v>
      </c>
      <c r="D13" t="s">
        <v>341</v>
      </c>
      <c r="E13" t="s">
        <v>451</v>
      </c>
      <c r="F13" t="s">
        <v>372</v>
      </c>
      <c r="G13" s="48" t="s">
        <v>465</v>
      </c>
      <c r="H13" t="s">
        <v>519</v>
      </c>
      <c r="N13" s="67" t="s">
        <v>322</v>
      </c>
      <c r="O13" t="s">
        <v>29</v>
      </c>
    </row>
    <row r="14" spans="1:15" x14ac:dyDescent="0.25">
      <c r="B14" t="str">
        <f t="shared" si="0"/>
        <v>No, this is a new order</v>
      </c>
      <c r="C14" t="s">
        <v>330</v>
      </c>
      <c r="D14" t="s">
        <v>342</v>
      </c>
      <c r="E14" t="s">
        <v>452</v>
      </c>
      <c r="F14" t="s">
        <v>373</v>
      </c>
      <c r="G14" s="48" t="s">
        <v>466</v>
      </c>
      <c r="H14" t="s">
        <v>520</v>
      </c>
      <c r="N14" s="67"/>
      <c r="O14" t="s">
        <v>30</v>
      </c>
    </row>
    <row r="15" spans="1:15" x14ac:dyDescent="0.25">
      <c r="B15" t="str">
        <f t="shared" si="0"/>
        <v>Fee for repeated print</v>
      </c>
      <c r="C15" t="s">
        <v>31</v>
      </c>
      <c r="D15" t="s">
        <v>343</v>
      </c>
      <c r="E15" t="s">
        <v>422</v>
      </c>
      <c r="F15" t="s">
        <v>374</v>
      </c>
      <c r="G15" s="48" t="s">
        <v>467</v>
      </c>
      <c r="H15" s="30" t="s">
        <v>521</v>
      </c>
    </row>
    <row r="16" spans="1:15" x14ac:dyDescent="0.25">
      <c r="B16" t="str">
        <f t="shared" si="0"/>
        <v>Preparation fee (setup fee)</v>
      </c>
      <c r="C16" t="s">
        <v>32</v>
      </c>
      <c r="D16" t="s">
        <v>344</v>
      </c>
      <c r="E16" t="s">
        <v>423</v>
      </c>
      <c r="F16" t="s">
        <v>375</v>
      </c>
      <c r="G16" s="48" t="s">
        <v>468</v>
      </c>
      <c r="H16" s="30" t="s">
        <v>522</v>
      </c>
    </row>
    <row r="17" spans="2:8" x14ac:dyDescent="0.25">
      <c r="B17" t="str">
        <f t="shared" si="0"/>
        <v>Graphic design preparation fee</v>
      </c>
      <c r="C17" t="s">
        <v>33</v>
      </c>
      <c r="D17" t="s">
        <v>345</v>
      </c>
      <c r="E17" s="30" t="s">
        <v>424</v>
      </c>
      <c r="F17" t="s">
        <v>376</v>
      </c>
      <c r="G17" s="48" t="s">
        <v>469</v>
      </c>
      <c r="H17" s="30" t="s">
        <v>523</v>
      </c>
    </row>
    <row r="18" spans="2:8" x14ac:dyDescent="0.25">
      <c r="B18" t="str">
        <f t="shared" si="0"/>
        <v>a hinge</v>
      </c>
      <c r="C18" t="s">
        <v>229</v>
      </c>
      <c r="D18" t="s">
        <v>346</v>
      </c>
      <c r="E18" t="s">
        <v>425</v>
      </c>
      <c r="F18" t="s">
        <v>377</v>
      </c>
      <c r="G18" s="48" t="s">
        <v>470</v>
      </c>
      <c r="H18" s="30" t="s">
        <v>524</v>
      </c>
    </row>
    <row r="19" spans="2:8" x14ac:dyDescent="0.25">
      <c r="B19" t="str">
        <f t="shared" si="0"/>
        <v>a drawer</v>
      </c>
      <c r="C19" t="s">
        <v>328</v>
      </c>
      <c r="D19" t="s">
        <v>328</v>
      </c>
      <c r="E19" t="s">
        <v>426</v>
      </c>
      <c r="F19" t="s">
        <v>378</v>
      </c>
      <c r="G19" s="48" t="s">
        <v>471</v>
      </c>
      <c r="H19" t="s">
        <v>525</v>
      </c>
    </row>
    <row r="20" spans="2:8" x14ac:dyDescent="0.25">
      <c r="B20" t="str">
        <f t="shared" si="0"/>
        <v>Brand of a cover cap</v>
      </c>
      <c r="C20" t="s">
        <v>227</v>
      </c>
      <c r="D20" t="s">
        <v>227</v>
      </c>
      <c r="E20" t="s">
        <v>427</v>
      </c>
      <c r="F20" t="s">
        <v>379</v>
      </c>
      <c r="G20" s="48" t="s">
        <v>472</v>
      </c>
      <c r="H20" s="30" t="s">
        <v>526</v>
      </c>
    </row>
    <row r="21" spans="2:8" x14ac:dyDescent="0.25">
      <c r="B21" t="str">
        <f t="shared" si="0"/>
        <v>Cover cap for</v>
      </c>
      <c r="C21" t="s">
        <v>228</v>
      </c>
      <c r="D21" t="s">
        <v>347</v>
      </c>
      <c r="E21" t="s">
        <v>428</v>
      </c>
      <c r="F21" t="s">
        <v>380</v>
      </c>
      <c r="G21" s="48" t="s">
        <v>473</v>
      </c>
      <c r="H21" s="30" t="s">
        <v>527</v>
      </c>
    </row>
    <row r="22" spans="2:8" x14ac:dyDescent="0.25">
      <c r="B22" t="str">
        <f t="shared" si="0"/>
        <v>Basic price for 1 cover cap</v>
      </c>
      <c r="C22" t="s">
        <v>211</v>
      </c>
      <c r="D22" t="s">
        <v>348</v>
      </c>
      <c r="E22" s="30" t="s">
        <v>429</v>
      </c>
      <c r="F22" t="s">
        <v>381</v>
      </c>
      <c r="G22" s="48" t="s">
        <v>474</v>
      </c>
      <c r="H22" s="30" t="s">
        <v>528</v>
      </c>
    </row>
    <row r="23" spans="2:8" x14ac:dyDescent="0.25">
      <c r="B23" t="str">
        <f t="shared" si="0"/>
        <v>Cover cap discount in %</v>
      </c>
      <c r="C23" t="s">
        <v>225</v>
      </c>
      <c r="D23" t="s">
        <v>349</v>
      </c>
      <c r="E23" t="s">
        <v>430</v>
      </c>
      <c r="F23" t="s">
        <v>382</v>
      </c>
      <c r="G23" s="48" t="s">
        <v>475</v>
      </c>
      <c r="H23" s="30" t="s">
        <v>529</v>
      </c>
    </row>
    <row r="24" spans="2:8" x14ac:dyDescent="0.25">
      <c r="B24" t="str">
        <f t="shared" si="0"/>
        <v>Cover cap price with the discount</v>
      </c>
      <c r="C24" t="s">
        <v>212</v>
      </c>
      <c r="D24" t="s">
        <v>350</v>
      </c>
      <c r="E24" t="s">
        <v>431</v>
      </c>
      <c r="F24" t="s">
        <v>383</v>
      </c>
      <c r="G24" s="48" t="s">
        <v>476</v>
      </c>
      <c r="H24" s="30" t="s">
        <v>530</v>
      </c>
    </row>
    <row r="25" spans="2:8" x14ac:dyDescent="0.25">
      <c r="B25" t="str">
        <f t="shared" si="0"/>
        <v>Please fill in one field</v>
      </c>
      <c r="C25" t="s">
        <v>247</v>
      </c>
      <c r="D25" t="s">
        <v>247</v>
      </c>
      <c r="E25" t="s">
        <v>432</v>
      </c>
      <c r="F25" t="s">
        <v>384</v>
      </c>
      <c r="G25" s="48" t="s">
        <v>477</v>
      </c>
      <c r="H25" s="30" t="s">
        <v>531</v>
      </c>
    </row>
    <row r="26" spans="2:8" x14ac:dyDescent="0.25">
      <c r="B26" t="str">
        <f t="shared" si="0"/>
        <v>Total price of printed cover caps</v>
      </c>
      <c r="C26" t="s">
        <v>223</v>
      </c>
      <c r="D26" t="s">
        <v>351</v>
      </c>
      <c r="E26" t="s">
        <v>433</v>
      </c>
      <c r="F26" t="s">
        <v>385</v>
      </c>
      <c r="G26" s="48" t="s">
        <v>478</v>
      </c>
      <c r="H26" t="s">
        <v>532</v>
      </c>
    </row>
    <row r="27" spans="2:8" x14ac:dyDescent="0.25">
      <c r="B27" t="str">
        <f t="shared" si="0"/>
        <v>Price for 1 printed cover cap</v>
      </c>
      <c r="C27" t="s">
        <v>222</v>
      </c>
      <c r="D27" t="s">
        <v>352</v>
      </c>
      <c r="E27" t="s">
        <v>434</v>
      </c>
      <c r="F27" t="s">
        <v>386</v>
      </c>
      <c r="G27" s="48" t="s">
        <v>479</v>
      </c>
      <c r="H27" t="s">
        <v>533</v>
      </c>
    </row>
    <row r="28" spans="2:8" x14ac:dyDescent="0.25">
      <c r="B28" t="str">
        <f t="shared" si="0"/>
        <v>Introduction</v>
      </c>
      <c r="C28" t="s">
        <v>226</v>
      </c>
      <c r="D28" t="s">
        <v>226</v>
      </c>
      <c r="E28" t="s">
        <v>435</v>
      </c>
      <c r="F28" t="s">
        <v>387</v>
      </c>
      <c r="G28" s="48" t="s">
        <v>480</v>
      </c>
      <c r="H28" s="54" t="s">
        <v>480</v>
      </c>
    </row>
    <row r="29" spans="2:8" ht="33.75" customHeight="1" x14ac:dyDescent="0.25">
      <c r="B29" t="str">
        <f t="shared" si="0"/>
        <v>Always use the current version of the configurator form, available on our website.</v>
      </c>
      <c r="C29" t="s">
        <v>230</v>
      </c>
      <c r="D29" t="s">
        <v>353</v>
      </c>
      <c r="E29" t="s">
        <v>436</v>
      </c>
      <c r="F29" t="s">
        <v>388</v>
      </c>
      <c r="G29" s="49" t="s">
        <v>481</v>
      </c>
      <c r="H29" s="48" t="s">
        <v>534</v>
      </c>
    </row>
    <row r="30" spans="2:8" ht="21.75" customHeight="1" x14ac:dyDescent="0.25">
      <c r="B30" t="str">
        <f t="shared" si="0"/>
        <v>Please fill in your contact details and then click on the desired field below.</v>
      </c>
      <c r="C30" t="s">
        <v>231</v>
      </c>
      <c r="D30" t="s">
        <v>354</v>
      </c>
      <c r="E30" t="s">
        <v>437</v>
      </c>
      <c r="F30" t="s">
        <v>389</v>
      </c>
      <c r="G30" s="49" t="s">
        <v>482</v>
      </c>
      <c r="H30" s="48" t="s">
        <v>535</v>
      </c>
    </row>
    <row r="31" spans="2:8" x14ac:dyDescent="0.25">
      <c r="B31" t="str">
        <f t="shared" si="0"/>
        <v>Order number</v>
      </c>
      <c r="C31" t="s">
        <v>232</v>
      </c>
      <c r="D31" t="s">
        <v>232</v>
      </c>
      <c r="E31" t="s">
        <v>438</v>
      </c>
      <c r="F31" t="s">
        <v>390</v>
      </c>
      <c r="G31" s="48" t="s">
        <v>483</v>
      </c>
      <c r="H31" s="30" t="s">
        <v>536</v>
      </c>
    </row>
    <row r="32" spans="2:8" x14ac:dyDescent="0.25">
      <c r="B32" t="str">
        <f t="shared" si="0"/>
        <v>Customer name</v>
      </c>
      <c r="C32" s="21" t="s">
        <v>233</v>
      </c>
      <c r="D32" t="s">
        <v>233</v>
      </c>
      <c r="E32" t="s">
        <v>439</v>
      </c>
      <c r="F32" t="s">
        <v>391</v>
      </c>
      <c r="G32" s="48" t="s">
        <v>484</v>
      </c>
      <c r="H32" s="30" t="s">
        <v>537</v>
      </c>
    </row>
    <row r="33" spans="2:8" x14ac:dyDescent="0.25">
      <c r="B33" t="str">
        <f t="shared" si="0"/>
        <v>Customer ID</v>
      </c>
      <c r="C33" s="21" t="s">
        <v>234</v>
      </c>
      <c r="D33" t="s">
        <v>234</v>
      </c>
      <c r="E33" t="s">
        <v>440</v>
      </c>
      <c r="F33" t="s">
        <v>392</v>
      </c>
      <c r="G33" s="48" t="s">
        <v>485</v>
      </c>
      <c r="H33" s="30" t="s">
        <v>554</v>
      </c>
    </row>
    <row r="34" spans="2:8" x14ac:dyDescent="0.25">
      <c r="B34" t="str">
        <f t="shared" si="0"/>
        <v>Contact phone number</v>
      </c>
      <c r="C34" s="21" t="s">
        <v>235</v>
      </c>
      <c r="D34" t="s">
        <v>236</v>
      </c>
      <c r="E34" t="s">
        <v>441</v>
      </c>
      <c r="F34" t="s">
        <v>393</v>
      </c>
      <c r="G34" s="48" t="s">
        <v>486</v>
      </c>
      <c r="H34" s="30" t="s">
        <v>538</v>
      </c>
    </row>
    <row r="35" spans="2:8" x14ac:dyDescent="0.25">
      <c r="B35" t="str">
        <f t="shared" si="0"/>
        <v>Shown prices are excluding VAT!</v>
      </c>
      <c r="C35" s="21" t="s">
        <v>237</v>
      </c>
      <c r="D35" t="s">
        <v>238</v>
      </c>
      <c r="E35" t="s">
        <v>442</v>
      </c>
      <c r="F35" t="s">
        <v>394</v>
      </c>
      <c r="G35" s="48" t="s">
        <v>487</v>
      </c>
      <c r="H35" t="s">
        <v>539</v>
      </c>
    </row>
    <row r="36" spans="2:8" ht="30" x14ac:dyDescent="0.25">
      <c r="B36" t="str">
        <f t="shared" si="0"/>
        <v>Please, proceed from top to bottom when filling in the form. If you make changes afterwards, check that the subsequent entries are correct.</v>
      </c>
      <c r="C36" t="s">
        <v>239</v>
      </c>
      <c r="D36" t="s">
        <v>355</v>
      </c>
      <c r="E36" t="s">
        <v>443</v>
      </c>
      <c r="F36" t="s">
        <v>395</v>
      </c>
      <c r="G36" s="49" t="s">
        <v>488</v>
      </c>
      <c r="H36" s="48" t="s">
        <v>540</v>
      </c>
    </row>
    <row r="37" spans="2:8" x14ac:dyDescent="0.25">
      <c r="B37" t="str">
        <f t="shared" si="0"/>
        <v>Send the filled out form to export@demos-trade.com</v>
      </c>
      <c r="C37" s="21" t="s">
        <v>240</v>
      </c>
      <c r="D37" t="s">
        <v>241</v>
      </c>
      <c r="E37" t="s">
        <v>453</v>
      </c>
      <c r="F37" t="s">
        <v>396</v>
      </c>
      <c r="G37" s="48" t="s">
        <v>556</v>
      </c>
      <c r="H37" s="48" t="s">
        <v>541</v>
      </c>
    </row>
    <row r="38" spans="2:8" x14ac:dyDescent="0.25">
      <c r="B38" t="str">
        <f t="shared" si="0"/>
        <v>Cover cap article Nr. and title</v>
      </c>
      <c r="C38" t="s">
        <v>242</v>
      </c>
      <c r="D38" t="s">
        <v>356</v>
      </c>
      <c r="E38" t="s">
        <v>509</v>
      </c>
      <c r="F38" t="s">
        <v>397</v>
      </c>
      <c r="G38" s="48" t="s">
        <v>489</v>
      </c>
      <c r="H38" s="30" t="s">
        <v>542</v>
      </c>
    </row>
    <row r="39" spans="2:8" x14ac:dyDescent="0.25">
      <c r="B39" t="str">
        <f t="shared" si="0"/>
        <v>Next&gt;</v>
      </c>
      <c r="C39" t="s">
        <v>245</v>
      </c>
      <c r="D39" t="s">
        <v>357</v>
      </c>
      <c r="E39" t="s">
        <v>246</v>
      </c>
      <c r="F39" t="s">
        <v>398</v>
      </c>
      <c r="G39" s="48" t="s">
        <v>490</v>
      </c>
      <c r="H39" s="30" t="s">
        <v>543</v>
      </c>
    </row>
    <row r="40" spans="2:8" x14ac:dyDescent="0.25">
      <c r="B40" t="str">
        <f t="shared" si="0"/>
        <v>&lt;Back</v>
      </c>
      <c r="C40" t="s">
        <v>408</v>
      </c>
      <c r="D40" t="s">
        <v>407</v>
      </c>
      <c r="E40" t="s">
        <v>243</v>
      </c>
      <c r="F40" t="s">
        <v>244</v>
      </c>
      <c r="G40" s="48" t="s">
        <v>491</v>
      </c>
      <c r="H40" s="30" t="s">
        <v>544</v>
      </c>
    </row>
    <row r="41" spans="2:8" ht="30" x14ac:dyDescent="0.25">
      <c r="B41" t="str">
        <f t="shared" si="0"/>
        <v>The order must include the logo graphic file in vector format and defined colours according to the Pantone colour guide.</v>
      </c>
      <c r="C41" t="s">
        <v>335</v>
      </c>
      <c r="D41" t="s">
        <v>358</v>
      </c>
      <c r="E41" t="s">
        <v>444</v>
      </c>
      <c r="F41" t="s">
        <v>399</v>
      </c>
      <c r="G41" s="49" t="s">
        <v>492</v>
      </c>
      <c r="H41" s="30" t="s">
        <v>545</v>
      </c>
    </row>
    <row r="42" spans="2:8" x14ac:dyDescent="0.25">
      <c r="B42" t="str">
        <f t="shared" si="0"/>
        <v>Availability of the cover caps</v>
      </c>
      <c r="C42" t="s">
        <v>251</v>
      </c>
      <c r="D42" t="s">
        <v>359</v>
      </c>
      <c r="E42" t="s">
        <v>454</v>
      </c>
      <c r="F42" t="s">
        <v>400</v>
      </c>
      <c r="G42" s="48" t="s">
        <v>493</v>
      </c>
      <c r="H42" s="30" t="s">
        <v>546</v>
      </c>
    </row>
    <row r="43" spans="2:8" ht="30" x14ac:dyDescent="0.25">
      <c r="B43" t="str">
        <f t="shared" si="0"/>
        <v>Please note – the cover cap in the order is not symmetrical; please, attach a drawing of the cover cap.</v>
      </c>
      <c r="C43" t="s">
        <v>331</v>
      </c>
      <c r="D43" t="s">
        <v>360</v>
      </c>
      <c r="E43" t="s">
        <v>445</v>
      </c>
      <c r="F43" t="s">
        <v>401</v>
      </c>
      <c r="G43" s="49" t="s">
        <v>494</v>
      </c>
      <c r="H43" s="55" t="s">
        <v>547</v>
      </c>
    </row>
    <row r="44" spans="2:8" x14ac:dyDescent="0.25">
      <c r="B44" t="str">
        <f t="shared" si="0"/>
        <v>pcs</v>
      </c>
      <c r="C44" t="s">
        <v>272</v>
      </c>
      <c r="D44" t="s">
        <v>15</v>
      </c>
      <c r="E44" t="s">
        <v>450</v>
      </c>
      <c r="F44" t="s">
        <v>402</v>
      </c>
      <c r="G44" s="48" t="s">
        <v>495</v>
      </c>
      <c r="H44" t="s">
        <v>495</v>
      </c>
    </row>
    <row r="45" spans="2:8" x14ac:dyDescent="0.25">
      <c r="B45" t="str">
        <f t="shared" si="0"/>
        <v>Adjust the quantity to full packaging units.</v>
      </c>
      <c r="C45" t="s">
        <v>275</v>
      </c>
      <c r="D45" t="s">
        <v>361</v>
      </c>
      <c r="E45" t="s">
        <v>446</v>
      </c>
      <c r="F45" t="s">
        <v>403</v>
      </c>
      <c r="G45" s="48" t="s">
        <v>496</v>
      </c>
      <c r="H45" t="s">
        <v>548</v>
      </c>
    </row>
    <row r="46" spans="2:8" x14ac:dyDescent="0.25">
      <c r="B46" t="str">
        <f t="shared" si="0"/>
        <v>I confirm that I understand and accept above mentioned conditions and reccomendations.</v>
      </c>
      <c r="C46" s="10" t="s">
        <v>501</v>
      </c>
      <c r="D46" t="s">
        <v>502</v>
      </c>
      <c r="E46" t="s">
        <v>503</v>
      </c>
      <c r="F46" t="s">
        <v>505</v>
      </c>
      <c r="G46" s="48" t="s">
        <v>504</v>
      </c>
      <c r="H46" t="s">
        <v>553</v>
      </c>
    </row>
    <row r="47" spans="2:8" x14ac:dyDescent="0.25">
      <c r="G47" s="49"/>
    </row>
    <row r="48" spans="2:8" x14ac:dyDescent="0.25">
      <c r="G48" s="48"/>
    </row>
    <row r="49" spans="2:8" x14ac:dyDescent="0.25">
      <c r="B49" t="str">
        <f t="shared" si="0"/>
        <v xml:space="preserve">The price shown above is final; no discounts can be applied. </v>
      </c>
      <c r="C49" t="s">
        <v>558</v>
      </c>
      <c r="D49" t="s">
        <v>559</v>
      </c>
      <c r="E49" t="s">
        <v>560</v>
      </c>
      <c r="F49" t="s">
        <v>561</v>
      </c>
      <c r="G49" s="48" t="s">
        <v>562</v>
      </c>
      <c r="H49" s="30" t="s">
        <v>563</v>
      </c>
    </row>
    <row r="50" spans="2:8" x14ac:dyDescent="0.25">
      <c r="B50" t="str">
        <f t="shared" si="0"/>
        <v>The price is based on the quantity ordered.</v>
      </c>
      <c r="C50" t="s">
        <v>334</v>
      </c>
      <c r="D50" t="s">
        <v>362</v>
      </c>
      <c r="E50" t="s">
        <v>447</v>
      </c>
      <c r="F50" t="s">
        <v>404</v>
      </c>
      <c r="G50" s="48" t="s">
        <v>497</v>
      </c>
      <c r="H50" s="30" t="s">
        <v>549</v>
      </c>
    </row>
    <row r="51" spans="2:8" x14ac:dyDescent="0.25">
      <c r="B51" t="str">
        <f t="shared" si="0"/>
        <v>Price for a quantity of 200 pcs</v>
      </c>
      <c r="C51" t="s">
        <v>333</v>
      </c>
      <c r="D51" t="s">
        <v>363</v>
      </c>
      <c r="E51" s="30" t="s">
        <v>448</v>
      </c>
      <c r="F51" t="s">
        <v>405</v>
      </c>
      <c r="G51" s="48" t="s">
        <v>498</v>
      </c>
      <c r="H51" s="30" t="s">
        <v>550</v>
      </c>
    </row>
    <row r="52" spans="2:8" x14ac:dyDescent="0.25">
      <c r="B52" t="str">
        <f t="shared" si="0"/>
        <v>Price for a quantity of 1 000 pcs</v>
      </c>
      <c r="C52" t="s">
        <v>332</v>
      </c>
      <c r="D52" t="s">
        <v>364</v>
      </c>
      <c r="E52" t="s">
        <v>449</v>
      </c>
      <c r="F52" t="s">
        <v>406</v>
      </c>
      <c r="G52" s="48" t="s">
        <v>499</v>
      </c>
      <c r="H52" s="30" t="s">
        <v>551</v>
      </c>
    </row>
    <row r="53" spans="2:8" x14ac:dyDescent="0.25">
      <c r="B53" t="str">
        <f t="shared" si="0"/>
        <v>The usual leadtime for printing is 10 working days.</v>
      </c>
      <c r="C53" t="s">
        <v>570</v>
      </c>
      <c r="D53" t="s">
        <v>571</v>
      </c>
      <c r="E53" t="s">
        <v>572</v>
      </c>
      <c r="F53" t="s">
        <v>557</v>
      </c>
      <c r="G53" t="s">
        <v>574</v>
      </c>
      <c r="H53" t="s">
        <v>573</v>
      </c>
    </row>
    <row r="54" spans="2:8" x14ac:dyDescent="0.25">
      <c r="B54" t="str">
        <f t="shared" si="0"/>
        <v>Fill in Pantone colours</v>
      </c>
      <c r="C54" t="s">
        <v>568</v>
      </c>
      <c r="D54" t="s">
        <v>567</v>
      </c>
      <c r="E54" t="s">
        <v>566</v>
      </c>
      <c r="F54" t="s">
        <v>565</v>
      </c>
      <c r="G54" s="49" t="s">
        <v>575</v>
      </c>
      <c r="H54" s="30" t="s">
        <v>564</v>
      </c>
    </row>
    <row r="56" spans="2:8" x14ac:dyDescent="0.25">
      <c r="B56" t="str">
        <f t="shared" si="0"/>
        <v>We do not keep the selected cover cap in stock, therefore the delivery time will be extended by 5-15 working days. At the same time, it is possible to order quantities in multiples of 1000 pieces.</v>
      </c>
      <c r="C56" t="s">
        <v>595</v>
      </c>
      <c r="D56" t="s">
        <v>602</v>
      </c>
      <c r="E56" t="s">
        <v>603</v>
      </c>
      <c r="F56" t="s">
        <v>607</v>
      </c>
      <c r="G56" t="s">
        <v>604</v>
      </c>
      <c r="H56" t="s">
        <v>605</v>
      </c>
    </row>
    <row r="57" spans="2:8" x14ac:dyDescent="0.25">
      <c r="B57" t="str">
        <f t="shared" ref="B57" si="1">IF($D$1=1,C:C,IF($D$1=2,D:D,IF($D$1=3,E:E,IF($D$1=4,F:F,IF($D$1=5,G:G,IF($D$1=6,H:H))))))</f>
        <v>Quantity (min. 1000 pcs)</v>
      </c>
      <c r="C57" t="s">
        <v>596</v>
      </c>
      <c r="D57" t="s">
        <v>597</v>
      </c>
      <c r="E57" t="s">
        <v>598</v>
      </c>
      <c r="F57" t="s">
        <v>599</v>
      </c>
      <c r="G57" s="48" t="s">
        <v>600</v>
      </c>
      <c r="H57" s="30" t="s">
        <v>601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AC29"/>
  <sheetViews>
    <sheetView showGridLines="0" showRowColHeaders="0" showZeros="0" workbookViewId="0">
      <selection activeCell="D4" sqref="D4:E4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9" ht="27.6" customHeight="1" x14ac:dyDescent="0.25"/>
    <row r="2" spans="1:29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8" t="str">
        <f>překlady!B28</f>
        <v>Introduction</v>
      </c>
      <c r="M2" s="68"/>
    </row>
    <row r="3" spans="1:29" ht="19.149999999999999" customHeight="1" x14ac:dyDescent="0.25"/>
    <row r="4" spans="1:29" ht="15.75" x14ac:dyDescent="0.25">
      <c r="B4" s="44" t="str">
        <f>překlady!B20</f>
        <v>Brand of a cover cap</v>
      </c>
      <c r="D4" s="81"/>
      <c r="E4" s="81"/>
    </row>
    <row r="5" spans="1:29" ht="15.75" x14ac:dyDescent="0.25">
      <c r="B5" s="32" t="str">
        <f>překlady!B21</f>
        <v>Cover cap for</v>
      </c>
      <c r="D5" s="81"/>
      <c r="E5" s="81"/>
      <c r="V5" s="10" t="s">
        <v>47</v>
      </c>
      <c r="W5" s="10" t="str">
        <f>CONCATENATE(D4,"_",W6)</f>
        <v>_0</v>
      </c>
    </row>
    <row r="6" spans="1:29" ht="45.75" customHeight="1" x14ac:dyDescent="0.25">
      <c r="B6" s="45" t="str">
        <f>překlady!B38</f>
        <v>Cover cap article Nr. and title</v>
      </c>
      <c r="D6" s="82"/>
      <c r="E6" s="82"/>
      <c r="F6" s="16" t="e">
        <f>VLOOKUP(D6,karty!C:X,21,0)</f>
        <v>#N/A</v>
      </c>
      <c r="G6" s="60"/>
      <c r="H6" s="60"/>
      <c r="I6" s="60"/>
      <c r="J6" s="60"/>
      <c r="V6" s="10" t="s">
        <v>48</v>
      </c>
      <c r="W6" s="10">
        <f>IF(D5=překlady!B18,"P",IF(D5=překlady!B19,"Z",0))</f>
        <v>0</v>
      </c>
      <c r="X6" s="10" t="s">
        <v>52</v>
      </c>
    </row>
    <row r="7" spans="1:29" ht="45" customHeight="1" x14ac:dyDescent="0.25">
      <c r="A7" s="16" t="e">
        <f>VLOOKUP(Config!D6,karty!C:R,16,0)</f>
        <v>#N/A</v>
      </c>
      <c r="B7" s="83" t="str">
        <f>IFERROR((IF(OR(D6=karty!C24,D6=karty!C25,D6=karty!C26),překlady!B56,IF(F6=2,překlady!B43,""))),"")</f>
        <v/>
      </c>
      <c r="C7" s="83"/>
      <c r="D7" s="83"/>
      <c r="E7" s="83"/>
      <c r="X7" s="10" t="s">
        <v>53</v>
      </c>
    </row>
    <row r="8" spans="1:29" ht="18.600000000000001" customHeight="1" x14ac:dyDescent="0.25">
      <c r="B8" s="61" t="str">
        <f>IF(F8=3,překlady!B9,"")</f>
        <v/>
      </c>
      <c r="D8" s="64"/>
      <c r="E8" s="65" t="str">
        <f>IF(F8=3,překlady!B44,"")</f>
        <v/>
      </c>
      <c r="F8" s="16">
        <f>IF(D6="",1,IF(OR(D6=karty!C24,D6=karty!C25,D6=karty!C26),2,3))</f>
        <v>1</v>
      </c>
      <c r="G8" s="16" t="str">
        <f>IF(D8&gt;49,překlady!B50,"")</f>
        <v/>
      </c>
      <c r="H8" s="16"/>
      <c r="AC8" s="66" t="str">
        <f>IF($F$8=2,1000,"")</f>
        <v/>
      </c>
    </row>
    <row r="9" spans="1:29" ht="18" customHeight="1" x14ac:dyDescent="0.25">
      <c r="B9" s="63" t="str">
        <f>IF(F8=2,překlady!B57,"")</f>
        <v/>
      </c>
      <c r="D9" s="62"/>
      <c r="E9" s="65" t="str">
        <f>IF(F8=2,překlady!B44,"")</f>
        <v/>
      </c>
      <c r="AC9" s="66" t="str">
        <f>IF($F$8=2,2000,"")</f>
        <v/>
      </c>
    </row>
    <row r="10" spans="1:29" ht="15.75" x14ac:dyDescent="0.25">
      <c r="B10" s="63" t="str">
        <f>překlady!B10</f>
        <v>Number of logo colours (1-4)</v>
      </c>
      <c r="D10" s="87"/>
      <c r="E10" s="87"/>
      <c r="V10" s="10" t="s">
        <v>224</v>
      </c>
      <c r="X10" s="10" t="e">
        <f>VLOOKUP(D6,karty!C:P,14,0)</f>
        <v>#N/A</v>
      </c>
      <c r="AC10" s="66" t="str">
        <f>IF($F$8=2,3000,"")</f>
        <v/>
      </c>
    </row>
    <row r="11" spans="1:29" ht="19.149999999999999" customHeight="1" x14ac:dyDescent="0.25">
      <c r="B11" s="61" t="str">
        <f>překlady!B54</f>
        <v>Fill in Pantone colours</v>
      </c>
      <c r="C11" s="58" t="str">
        <f>IF(D10&gt;0,"1:","")</f>
        <v/>
      </c>
      <c r="D11" s="84"/>
      <c r="E11" s="84"/>
      <c r="F11" s="46"/>
      <c r="AC11" s="66" t="str">
        <f>IF($F$8=2,4000,"")</f>
        <v/>
      </c>
    </row>
    <row r="12" spans="1:29" ht="19.149999999999999" customHeight="1" x14ac:dyDescent="0.25">
      <c r="C12" s="57" t="str">
        <f>IF(D10&gt;1,"2:","")</f>
        <v/>
      </c>
      <c r="D12" s="85"/>
      <c r="E12" s="85"/>
      <c r="V12" s="10" t="s">
        <v>255</v>
      </c>
      <c r="W12" s="10" t="str">
        <f>IF(SUM(V14:V16)=3,IF(AND(D8&gt;49,D8&lt;200),1,IF(AND(D8&gt;199,D8&lt;901),2,0)),"")</f>
        <v/>
      </c>
      <c r="AC12" s="66" t="str">
        <f>IF($F$8=2,5000,"")</f>
        <v/>
      </c>
    </row>
    <row r="13" spans="1:29" ht="19.149999999999999" customHeight="1" x14ac:dyDescent="0.25">
      <c r="C13" s="57" t="str">
        <f>IF(D10&gt;2,"3:","")</f>
        <v/>
      </c>
      <c r="D13" s="85"/>
      <c r="E13" s="85"/>
      <c r="AC13" s="66" t="str">
        <f>IF($F$8=2,6000,"")</f>
        <v/>
      </c>
    </row>
    <row r="14" spans="1:29" ht="19.149999999999999" customHeight="1" x14ac:dyDescent="0.25">
      <c r="C14" s="57" t="str">
        <f>IF(D10&gt;3,"4:","")</f>
        <v/>
      </c>
      <c r="D14" s="85"/>
      <c r="E14" s="85"/>
      <c r="U14" s="47" t="s">
        <v>255</v>
      </c>
      <c r="V14" s="10">
        <f>IF(OR(D8&lt;&gt;"",D9&lt;&gt;""),1,0)</f>
        <v>0</v>
      </c>
      <c r="AC14" s="66" t="str">
        <f>IF($F$8=2,7000,"")</f>
        <v/>
      </c>
    </row>
    <row r="15" spans="1:29" ht="15.6" customHeight="1" x14ac:dyDescent="0.25">
      <c r="U15" s="47" t="s">
        <v>14</v>
      </c>
      <c r="V15" s="10">
        <f>IF(W19=1,1,0)</f>
        <v>0</v>
      </c>
      <c r="AC15" s="66" t="str">
        <f>IF($F$8=2,8000,"")</f>
        <v/>
      </c>
    </row>
    <row r="16" spans="1:29" ht="34.9" customHeight="1" x14ac:dyDescent="0.25">
      <c r="B16" s="44" t="str">
        <f>překlady!B26</f>
        <v>Total price of printed cover caps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6" t="str">
        <f>IF(SUM(V14:V16)=3,překlady!B51,"")</f>
        <v/>
      </c>
      <c r="H16" s="86"/>
      <c r="I16" s="86" t="str">
        <f>IF(SUM(V14:V16)=3,překlady!B52,"")</f>
        <v/>
      </c>
      <c r="J16" s="86"/>
      <c r="U16" s="47" t="s">
        <v>28</v>
      </c>
      <c r="V16" s="10">
        <f>IF(D9&lt;&gt;"",1,0)</f>
        <v>0</v>
      </c>
      <c r="AC16" s="66" t="str">
        <f>IF($F$8=2,9000,"")</f>
        <v/>
      </c>
    </row>
    <row r="17" spans="2:29" ht="15.75" x14ac:dyDescent="0.25">
      <c r="B17" s="34" t="str">
        <f>překlady!B27</f>
        <v>Price for 1 printed cover cap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  <c r="AC17" s="66" t="str">
        <f>IF($F$8=2,10000,"")</f>
        <v/>
      </c>
    </row>
    <row r="18" spans="2:29" ht="18.75" x14ac:dyDescent="0.3">
      <c r="B18" s="40"/>
      <c r="E18" s="41"/>
      <c r="AC18" s="66" t="str">
        <f>IF($F$8=2,11000,"")</f>
        <v/>
      </c>
    </row>
    <row r="19" spans="2:29" x14ac:dyDescent="0.25">
      <c r="T19" s="10" t="s">
        <v>569</v>
      </c>
      <c r="W19" s="10">
        <f>IF(AND(D10=1,W20=1),1,IF(AND(D10=2,W21=1),1,IF(AND(D10=3,W22=1),1,IF(AND(D10=4,W23=1),1,0))))</f>
        <v>0</v>
      </c>
      <c r="AC19" s="66" t="str">
        <f>IF($F$8=2,12000,"")</f>
        <v/>
      </c>
    </row>
    <row r="20" spans="2:29" ht="18.75" x14ac:dyDescent="0.3">
      <c r="B20" s="40" t="str">
        <f>překlady!B49 &amp; překlady!B35</f>
        <v>The price shown above is final; no discounts can be applied. Shown prices are excluding VAT!</v>
      </c>
      <c r="U20" s="10">
        <v>1</v>
      </c>
      <c r="V20" s="10" t="b">
        <f>ISBLANK(D11)</f>
        <v>1</v>
      </c>
      <c r="W20" s="10">
        <f>IF(AND($D$10=1,V20=FALSE),1,0)</f>
        <v>0</v>
      </c>
      <c r="AC20" s="66" t="str">
        <f>IF($F$8=2,13000,"")</f>
        <v/>
      </c>
    </row>
    <row r="21" spans="2:29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  <c r="AC21" s="66" t="str">
        <f>IF($F$8=2,14000,"")</f>
        <v/>
      </c>
    </row>
    <row r="22" spans="2:29" ht="18.75" x14ac:dyDescent="0.3">
      <c r="B22" s="42" t="str">
        <f>překlady!B41</f>
        <v>The order must include the logo graphic file in vector format and defined colours according to the Pantone colour guide.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  <c r="AC22" s="66" t="str">
        <f>IF($F$8=2,15000,"")</f>
        <v/>
      </c>
    </row>
    <row r="23" spans="2:29" x14ac:dyDescent="0.25">
      <c r="L23" s="70" t="str">
        <f>překlady!B40</f>
        <v>&lt;Back</v>
      </c>
      <c r="M23" s="68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9" ht="18.75" x14ac:dyDescent="0.3">
      <c r="B24" s="42" t="str">
        <f>překlady!B37</f>
        <v>Send the filled out form to export@demos-trade.com</v>
      </c>
      <c r="L24" s="70"/>
      <c r="M24" s="68"/>
    </row>
    <row r="25" spans="2:29" x14ac:dyDescent="0.25">
      <c r="B25" s="43"/>
    </row>
    <row r="26" spans="2:29" hidden="1" x14ac:dyDescent="0.25">
      <c r="B26" s="43"/>
    </row>
    <row r="27" spans="2:29" hidden="1" x14ac:dyDescent="0.25">
      <c r="B27" s="43"/>
    </row>
    <row r="28" spans="2:29" hidden="1" x14ac:dyDescent="0.25">
      <c r="J28" s="41"/>
    </row>
    <row r="29" spans="2:29" hidden="1" x14ac:dyDescent="0.25">
      <c r="B29" s="10" t="e" cm="1">
        <f t="array" aca="1" ref="B29" ca="1">INDIRECT(W5)</f>
        <v>#REF!</v>
      </c>
    </row>
  </sheetData>
  <sheetProtection algorithmName="SHA-512" hashValue="EE9vggJA/fVmMotCHSQLvjXczsxsklU0C2ubXRv8LKFRJwUZ3lOFtOCq/1mdqhq6io6x7WFd6pEjPFErLoEBnw==" saltValue="mgDxQr01IHLfAedzxf4MGg==" spinCount="100000" sheet="1" objects="1" scenarios="1"/>
  <mergeCells count="13">
    <mergeCell ref="L23:M24"/>
    <mergeCell ref="L2:M2"/>
    <mergeCell ref="D4:E4"/>
    <mergeCell ref="D5:E5"/>
    <mergeCell ref="D6:E6"/>
    <mergeCell ref="B7:E7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20" priority="32">
      <formula>LEN(TRIM(B7))&gt;0</formula>
    </cfRule>
  </conditionalFormatting>
  <conditionalFormatting sqref="B8">
    <cfRule type="expression" dxfId="19" priority="8">
      <formula>$F$8=3</formula>
    </cfRule>
  </conditionalFormatting>
  <conditionalFormatting sqref="B9">
    <cfRule type="expression" dxfId="18" priority="6">
      <formula>$F$8=2</formula>
    </cfRule>
    <cfRule type="notContainsBlanks" dxfId="17" priority="9">
      <formula>LEN(TRIM(B9))&gt;0</formula>
    </cfRule>
  </conditionalFormatting>
  <conditionalFormatting sqref="B10">
    <cfRule type="expression" dxfId="16" priority="2">
      <formula>$F$8&gt;1</formula>
    </cfRule>
  </conditionalFormatting>
  <conditionalFormatting sqref="B11">
    <cfRule type="expression" dxfId="15" priority="10">
      <formula>$D$10&gt;0</formula>
    </cfRule>
  </conditionalFormatting>
  <conditionalFormatting sqref="C11:E11">
    <cfRule type="expression" dxfId="14" priority="11">
      <formula>$C$11="1:"</formula>
    </cfRule>
  </conditionalFormatting>
  <conditionalFormatting sqref="C12:E12">
    <cfRule type="expression" dxfId="13" priority="12">
      <formula>$C$12="2:"</formula>
    </cfRule>
  </conditionalFormatting>
  <conditionalFormatting sqref="C13:E13">
    <cfRule type="expression" dxfId="12" priority="13">
      <formula>$C$13="3:"</formula>
    </cfRule>
  </conditionalFormatting>
  <conditionalFormatting sqref="C14:E14">
    <cfRule type="expression" dxfId="11" priority="14">
      <formula>$C$14="4:"</formula>
    </cfRule>
  </conditionalFormatting>
  <conditionalFormatting sqref="D8">
    <cfRule type="expression" dxfId="10" priority="3">
      <formula>$F$8=3</formula>
    </cfRule>
  </conditionalFormatting>
  <conditionalFormatting sqref="D9">
    <cfRule type="expression" dxfId="9" priority="4">
      <formula>$F$8=2</formula>
    </cfRule>
  </conditionalFormatting>
  <conditionalFormatting sqref="D16">
    <cfRule type="cellIs" dxfId="8" priority="27" operator="between">
      <formula>1</formula>
      <formula>100000000000000000</formula>
    </cfRule>
  </conditionalFormatting>
  <conditionalFormatting sqref="D17">
    <cfRule type="cellIs" dxfId="7" priority="26" operator="between">
      <formula>0.1</formula>
      <formula>10000000000</formula>
    </cfRule>
  </conditionalFormatting>
  <conditionalFormatting sqref="D10:E10">
    <cfRule type="expression" dxfId="6" priority="1">
      <formula>$F$8&gt;1</formula>
    </cfRule>
  </conditionalFormatting>
  <conditionalFormatting sqref="E8">
    <cfRule type="expression" dxfId="5" priority="7">
      <formula>$F$8=3</formula>
    </cfRule>
  </conditionalFormatting>
  <conditionalFormatting sqref="E9">
    <cfRule type="expression" dxfId="4" priority="5">
      <formula>$F$8=2</formula>
    </cfRule>
  </conditionalFormatting>
  <conditionalFormatting sqref="G8:J8">
    <cfRule type="expression" dxfId="3" priority="30">
      <formula>$D$8&gt;49</formula>
    </cfRule>
  </conditionalFormatting>
  <conditionalFormatting sqref="G16:J17">
    <cfRule type="expression" dxfId="2" priority="29">
      <formula>$W$12=1</formula>
    </cfRule>
  </conditionalFormatting>
  <conditionalFormatting sqref="I16:J17">
    <cfRule type="expression" dxfId="1" priority="20">
      <formula>$W$12=2</formula>
    </cfRule>
  </conditionalFormatting>
  <dataValidations count="5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allowBlank="1" showInputMessage="1" showErrorMessage="1" sqref="D9" xr:uid="{F3135933-41A0-4B27-A908-320CCD069A54}">
      <formula1>$AC$8:$AC$22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B3" sqref="B3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 t="s">
        <v>255</v>
      </c>
      <c r="B3" s="5">
        <f>IF(Config!$F$8=1,0,IF(Config!$F$8=2,Config!D9,IF(Config!$F$8=3,Config!D8,0)))</f>
        <v>0</v>
      </c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333</v>
      </c>
      <c r="AD6" t="s">
        <v>332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282</v>
      </c>
      <c r="Q7" t="e">
        <f>MATCH(B3,data!$D$7:$L$7)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213</v>
      </c>
      <c r="Q8" t="e">
        <f>HLOOKUP($Q$7,$D$6:$L$11,3,0)</f>
        <v>#N/A</v>
      </c>
      <c r="W8" t="s">
        <v>213</v>
      </c>
      <c r="X8" s="4">
        <v>2.6</v>
      </c>
      <c r="AD8" t="s">
        <v>213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214</v>
      </c>
      <c r="Q9" t="e">
        <f>HLOOKUP($Q$7,$D$6:$L$11,4,0)</f>
        <v>#N/A</v>
      </c>
      <c r="W9" t="s">
        <v>214</v>
      </c>
      <c r="X9" s="4">
        <v>4.4000000000000004</v>
      </c>
      <c r="AD9" t="s">
        <v>214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215</v>
      </c>
      <c r="Q10" t="e">
        <f>HLOOKUP($Q$7,$D$6:$L$11,5,0)</f>
        <v>#N/A</v>
      </c>
      <c r="W10" t="s">
        <v>215</v>
      </c>
      <c r="X10" s="4">
        <v>5.24</v>
      </c>
      <c r="AD10" t="s">
        <v>215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216</v>
      </c>
      <c r="Q11" t="e">
        <f>HLOOKUP($Q$7,$D$6:$L$11,6,0)</f>
        <v>#N/A</v>
      </c>
      <c r="W11" t="s">
        <v>216</v>
      </c>
      <c r="X11" s="4">
        <v>8.6</v>
      </c>
      <c r="AD11" t="s">
        <v>216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282</v>
      </c>
      <c r="Q14" t="e">
        <f>MATCH(B3,data!$D$14:$L$14)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217</v>
      </c>
      <c r="Q15" t="e">
        <f>HLOOKUP(Q14,$D$13:$L$18,3,0)</f>
        <v>#N/A</v>
      </c>
      <c r="W15" t="s">
        <v>217</v>
      </c>
      <c r="X15" s="22">
        <v>2.65</v>
      </c>
      <c r="AD15" t="s">
        <v>217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218</v>
      </c>
      <c r="Q16" t="e">
        <f>HLOOKUP(Q14,$D$13:$L$18,4,0)</f>
        <v>#N/A</v>
      </c>
      <c r="W16" t="s">
        <v>218</v>
      </c>
      <c r="X16" s="22">
        <v>4.5</v>
      </c>
      <c r="AD16" t="s">
        <v>218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219</v>
      </c>
      <c r="Q17" t="e">
        <f>HLOOKUP(Q14,$D$13:$L$18,5,0)</f>
        <v>#N/A</v>
      </c>
      <c r="W17" t="s">
        <v>219</v>
      </c>
      <c r="X17" s="22">
        <v>5.35</v>
      </c>
      <c r="AD17" t="s">
        <v>219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220</v>
      </c>
      <c r="Q18" t="e">
        <f>HLOOKUP(Q14,$D$13:$L$18,6,0)</f>
        <v>#N/A</v>
      </c>
      <c r="W18" t="s">
        <v>220</v>
      </c>
      <c r="X18" s="22">
        <v>9.02</v>
      </c>
      <c r="AD18" t="s">
        <v>220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253</v>
      </c>
      <c r="Q21" s="24">
        <f>B26</f>
        <v>0.2</v>
      </c>
      <c r="W21" t="s">
        <v>253</v>
      </c>
      <c r="X21" s="24">
        <f>B26</f>
        <v>0.2</v>
      </c>
      <c r="AD21" t="s">
        <v>253</v>
      </c>
      <c r="AE21" s="24">
        <f>B26</f>
        <v>0.2</v>
      </c>
    </row>
    <row r="22" spans="1:35" x14ac:dyDescent="0.25">
      <c r="P22" t="s">
        <v>27</v>
      </c>
      <c r="Q22">
        <f>B3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576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6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252</v>
      </c>
      <c r="B26" s="23">
        <v>0.2</v>
      </c>
      <c r="I26" t="s">
        <v>577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6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411</v>
      </c>
      <c r="S28" t="s">
        <v>412</v>
      </c>
      <c r="T28" t="s">
        <v>413</v>
      </c>
      <c r="U28" t="s">
        <v>411</v>
      </c>
      <c r="V28" t="s">
        <v>411</v>
      </c>
      <c r="X28" t="s">
        <v>37</v>
      </c>
      <c r="Y28" t="s">
        <v>411</v>
      </c>
      <c r="Z28" t="s">
        <v>412</v>
      </c>
      <c r="AA28" t="s">
        <v>413</v>
      </c>
      <c r="AB28" t="s">
        <v>4</v>
      </c>
      <c r="AE28" t="s">
        <v>37</v>
      </c>
      <c r="AF28" t="s">
        <v>411</v>
      </c>
      <c r="AG28" t="s">
        <v>412</v>
      </c>
      <c r="AH28" t="s">
        <v>413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workbookViewId="0"/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5</v>
      </c>
      <c r="J1" t="s">
        <v>326</v>
      </c>
      <c r="K1" t="s">
        <v>54</v>
      </c>
      <c r="L1" s="28">
        <v>0.5</v>
      </c>
    </row>
    <row r="2" spans="1:26" x14ac:dyDescent="0.25">
      <c r="K2" t="s">
        <v>325</v>
      </c>
      <c r="L2" s="28">
        <v>0.2</v>
      </c>
    </row>
    <row r="5" spans="1:26" x14ac:dyDescent="0.25">
      <c r="K5" s="3"/>
    </row>
    <row r="6" spans="1:26" x14ac:dyDescent="0.25">
      <c r="K6" s="3"/>
    </row>
    <row r="7" spans="1:26" ht="15.75" x14ac:dyDescent="0.25">
      <c r="K7" s="90" t="s">
        <v>591</v>
      </c>
      <c r="L7" s="90"/>
      <c r="M7" s="90"/>
      <c r="N7" s="90"/>
      <c r="O7" s="90"/>
      <c r="W7" s="88" t="s">
        <v>281</v>
      </c>
      <c r="X7" s="88"/>
      <c r="Y7" s="89" t="s">
        <v>322</v>
      </c>
      <c r="Z7" s="89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324</v>
      </c>
      <c r="S8" t="s">
        <v>38</v>
      </c>
      <c r="T8" t="s">
        <v>40</v>
      </c>
      <c r="U8" t="s">
        <v>41</v>
      </c>
      <c r="V8" t="s">
        <v>273</v>
      </c>
      <c r="W8" s="88"/>
      <c r="X8" s="88"/>
      <c r="Y8" s="89"/>
      <c r="Z8" s="89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283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284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285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606</v>
      </c>
      <c r="H12" t="s">
        <v>76</v>
      </c>
      <c r="I12" t="s">
        <v>77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286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78</v>
      </c>
      <c r="F13" t="s">
        <v>79</v>
      </c>
      <c r="G13" t="s">
        <v>80</v>
      </c>
      <c r="H13" t="s">
        <v>81</v>
      </c>
      <c r="I13" t="s">
        <v>82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287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83</v>
      </c>
      <c r="F14" t="s">
        <v>84</v>
      </c>
      <c r="G14" t="s">
        <v>85</v>
      </c>
      <c r="H14" t="s">
        <v>86</v>
      </c>
      <c r="I14" t="s">
        <v>87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288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88</v>
      </c>
      <c r="F15" t="s">
        <v>89</v>
      </c>
      <c r="G15" t="s">
        <v>90</v>
      </c>
      <c r="H15" t="s">
        <v>91</v>
      </c>
      <c r="I15" t="s">
        <v>92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289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93</v>
      </c>
      <c r="F16" t="s">
        <v>94</v>
      </c>
      <c r="G16" t="s">
        <v>95</v>
      </c>
      <c r="H16" t="s">
        <v>96</v>
      </c>
      <c r="I16" t="s">
        <v>97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290</v>
      </c>
    </row>
    <row r="17" spans="1:25" x14ac:dyDescent="0.25">
      <c r="A17" t="str">
        <f t="shared" si="0"/>
        <v>Strong_P</v>
      </c>
      <c r="B17" t="s">
        <v>256</v>
      </c>
      <c r="C17" t="str">
        <f t="shared" si="1"/>
        <v>92596T StrongHinges S5 cover cap of the soft closing hinge cup</v>
      </c>
      <c r="D17" t="s">
        <v>256</v>
      </c>
      <c r="E17" t="s">
        <v>279</v>
      </c>
      <c r="F17" t="s">
        <v>257</v>
      </c>
      <c r="G17" t="s">
        <v>258</v>
      </c>
      <c r="H17" t="s">
        <v>259</v>
      </c>
      <c r="I17" t="s">
        <v>260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291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121</v>
      </c>
      <c r="F18" t="s">
        <v>122</v>
      </c>
      <c r="G18" t="s">
        <v>123</v>
      </c>
      <c r="H18" t="s">
        <v>124</v>
      </c>
      <c r="I18" t="s">
        <v>125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297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140</v>
      </c>
      <c r="F19" t="s">
        <v>141</v>
      </c>
      <c r="G19" t="s">
        <v>142</v>
      </c>
      <c r="H19" t="s">
        <v>143</v>
      </c>
      <c r="I19" t="s">
        <v>144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301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145</v>
      </c>
      <c r="F20" t="s">
        <v>145</v>
      </c>
      <c r="G20" t="s">
        <v>146</v>
      </c>
      <c r="H20" t="s">
        <v>147</v>
      </c>
      <c r="I20" t="s">
        <v>148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302</v>
      </c>
    </row>
    <row r="21" spans="1:25" x14ac:dyDescent="0.25">
      <c r="A21" t="str">
        <f t="shared" si="4"/>
        <v>Blum_Z</v>
      </c>
      <c r="B21" s="52">
        <v>507277</v>
      </c>
      <c r="C21" t="str">
        <f t="shared" si="1"/>
        <v>507277 BLUM ZA7.0700 outer cover Legrabox for printing carbon black CS-M</v>
      </c>
      <c r="D21" s="52">
        <v>507277</v>
      </c>
      <c r="E21" s="53" t="s">
        <v>117</v>
      </c>
      <c r="F21" s="53" t="s">
        <v>118</v>
      </c>
      <c r="G21" s="53" t="s">
        <v>507</v>
      </c>
      <c r="H21" s="53" t="s">
        <v>119</v>
      </c>
      <c r="I21" s="53" t="s">
        <v>120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296</v>
      </c>
    </row>
    <row r="22" spans="1:25" x14ac:dyDescent="0.25">
      <c r="A22" t="str">
        <f t="shared" si="4"/>
        <v>Blum_Z</v>
      </c>
      <c r="B22" s="52">
        <v>372347</v>
      </c>
      <c r="C22" t="str">
        <f t="shared" si="1"/>
        <v>372347 BLUM ZA7.0700 outer cover cap Legrabox white SW-M</v>
      </c>
      <c r="D22" s="52">
        <v>372347</v>
      </c>
      <c r="E22" s="53" t="s">
        <v>98</v>
      </c>
      <c r="F22" s="53" t="s">
        <v>99</v>
      </c>
      <c r="G22" s="53" t="s">
        <v>508</v>
      </c>
      <c r="H22" s="53" t="s">
        <v>101</v>
      </c>
      <c r="I22" s="53" t="s">
        <v>102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292</v>
      </c>
    </row>
    <row r="23" spans="1:25" x14ac:dyDescent="0.25">
      <c r="A23" t="str">
        <f t="shared" si="4"/>
        <v>Blum_Z</v>
      </c>
      <c r="B23" s="52">
        <v>342261</v>
      </c>
      <c r="C23" t="str">
        <f t="shared" si="1"/>
        <v>342261 BLUM ZA7.0700 Legrabox outer cap to be printeg gray OG-M</v>
      </c>
      <c r="D23" s="52">
        <v>342261</v>
      </c>
      <c r="E23" s="53" t="s">
        <v>103</v>
      </c>
      <c r="F23" s="53" t="s">
        <v>104</v>
      </c>
      <c r="G23" s="53" t="s">
        <v>506</v>
      </c>
      <c r="H23" s="53" t="s">
        <v>106</v>
      </c>
      <c r="I23" s="53" t="s">
        <v>107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293</v>
      </c>
    </row>
    <row r="24" spans="1:25" x14ac:dyDescent="0.25">
      <c r="A24" t="str">
        <f t="shared" si="4"/>
        <v>Blum_Z</v>
      </c>
      <c r="B24" s="52">
        <v>487887</v>
      </c>
      <c r="C24" t="str">
        <f t="shared" si="1"/>
        <v>487887 Blum Abd.1000 Merivobox/Aventos Top, Outer Cover Cap For Printing, White</v>
      </c>
      <c r="D24" s="52">
        <v>487887</v>
      </c>
      <c r="E24" s="59" t="s">
        <v>579</v>
      </c>
      <c r="F24" s="59" t="s">
        <v>580</v>
      </c>
      <c r="G24" s="59" t="s">
        <v>585</v>
      </c>
      <c r="H24" s="59" t="s">
        <v>129</v>
      </c>
      <c r="I24" s="59" t="s">
        <v>588</v>
      </c>
      <c r="J24">
        <f t="shared" si="2"/>
        <v>6.232E-2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7.4784000000000003E-2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592</v>
      </c>
    </row>
    <row r="25" spans="1:25" x14ac:dyDescent="0.25">
      <c r="A25" t="str">
        <f t="shared" si="4"/>
        <v>Blum_Z</v>
      </c>
      <c r="B25" s="52">
        <v>487888</v>
      </c>
      <c r="C25" t="str">
        <f t="shared" si="1"/>
        <v>487888 Blum Abd.1000 Merivobox/Aventos Top, Outer Cover Cap For Printing, Light Grey Ig</v>
      </c>
      <c r="D25" s="52">
        <v>487888</v>
      </c>
      <c r="E25" s="59" t="s">
        <v>581</v>
      </c>
      <c r="F25" s="59" t="s">
        <v>582</v>
      </c>
      <c r="G25" s="59" t="s">
        <v>586</v>
      </c>
      <c r="H25" s="59" t="s">
        <v>134</v>
      </c>
      <c r="I25" s="59" t="s">
        <v>589</v>
      </c>
      <c r="J25">
        <f t="shared" si="2"/>
        <v>6.232E-2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7.4784000000000003E-2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593</v>
      </c>
    </row>
    <row r="26" spans="1:25" x14ac:dyDescent="0.25">
      <c r="A26" t="str">
        <f t="shared" si="4"/>
        <v>Blum_Z</v>
      </c>
      <c r="B26" s="52">
        <v>487889</v>
      </c>
      <c r="C26" t="str">
        <f t="shared" si="1"/>
        <v>487889 Blum Abd.1000 Merivobox/Aventos Top, Outer Cover Cap For Printing, Dark Grey Og</v>
      </c>
      <c r="D26" s="52">
        <v>487889</v>
      </c>
      <c r="E26" s="59" t="s">
        <v>583</v>
      </c>
      <c r="F26" s="59" t="s">
        <v>584</v>
      </c>
      <c r="G26" s="59" t="s">
        <v>587</v>
      </c>
      <c r="H26" s="59" t="s">
        <v>138</v>
      </c>
      <c r="I26" s="59" t="s">
        <v>590</v>
      </c>
      <c r="J26">
        <f t="shared" si="2"/>
        <v>6.232E-2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7.4784000000000003E-2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594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arm cover cap for overlay hinge, without logo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5.1209999999999999E-2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6.1451999999999993E-2</v>
      </c>
      <c r="Q27" s="6"/>
      <c r="R27" t="s">
        <v>50</v>
      </c>
      <c r="S27" s="7" t="s">
        <v>39</v>
      </c>
      <c r="T27" t="s">
        <v>56</v>
      </c>
      <c r="U27" t="str">
        <f>překlady!B8</f>
        <v>Metal</v>
      </c>
      <c r="Y27" t="s">
        <v>303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arm cover cap for half-overlay and overlay hinge, without logo</v>
      </c>
      <c r="D28">
        <v>12011</v>
      </c>
      <c r="E28" t="s">
        <v>149</v>
      </c>
      <c r="F28" t="s">
        <v>150</v>
      </c>
      <c r="G28" t="s">
        <v>151</v>
      </c>
      <c r="H28" t="s">
        <v>152</v>
      </c>
      <c r="I28" t="s">
        <v>153</v>
      </c>
      <c r="J28">
        <f t="shared" si="2"/>
        <v>6.2700000000000006E-2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7.5240000000000001E-2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304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arm cover cap</v>
      </c>
      <c r="D29">
        <v>12094</v>
      </c>
      <c r="E29" t="s">
        <v>154</v>
      </c>
      <c r="F29" t="s">
        <v>155</v>
      </c>
      <c r="G29" t="s">
        <v>156</v>
      </c>
      <c r="H29" t="s">
        <v>157</v>
      </c>
      <c r="I29" t="s">
        <v>158</v>
      </c>
      <c r="J29">
        <f t="shared" si="2"/>
        <v>5.1209999999999999E-2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6.1451999999999993E-2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305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arm cover cap</v>
      </c>
      <c r="D30">
        <v>12271</v>
      </c>
      <c r="E30" t="s">
        <v>159</v>
      </c>
      <c r="F30" t="s">
        <v>160</v>
      </c>
      <c r="G30" t="s">
        <v>161</v>
      </c>
      <c r="H30" t="s">
        <v>162</v>
      </c>
      <c r="I30" t="s">
        <v>163</v>
      </c>
      <c r="J30">
        <f t="shared" si="2"/>
        <v>3.3919999999999999E-2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4.0703999999999997E-2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306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arm cover cap without logo onyx</v>
      </c>
      <c r="D31">
        <v>306321</v>
      </c>
      <c r="E31" t="s">
        <v>164</v>
      </c>
      <c r="F31" t="s">
        <v>165</v>
      </c>
      <c r="G31" t="s">
        <v>166</v>
      </c>
      <c r="H31" t="s">
        <v>167</v>
      </c>
      <c r="I31" t="s">
        <v>168</v>
      </c>
      <c r="J31">
        <f t="shared" si="2"/>
        <v>8.2369999999999999E-2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9.8844000000000001E-2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307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arm cover cap without logo Onyx</v>
      </c>
      <c r="D32">
        <v>306326</v>
      </c>
      <c r="E32" t="s">
        <v>169</v>
      </c>
      <c r="F32" t="s">
        <v>170</v>
      </c>
      <c r="G32" t="s">
        <v>171</v>
      </c>
      <c r="H32" t="s">
        <v>172</v>
      </c>
      <c r="I32" t="s">
        <v>173</v>
      </c>
      <c r="J32">
        <f t="shared" si="2"/>
        <v>8.2369999999999999E-2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9.8844000000000001E-2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308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arm cover cap for thin material, Cristallo, 155° new</v>
      </c>
      <c r="D33">
        <v>347984</v>
      </c>
      <c r="E33" t="s">
        <v>174</v>
      </c>
      <c r="F33" t="s">
        <v>175</v>
      </c>
      <c r="G33" t="s">
        <v>176</v>
      </c>
      <c r="H33" t="s">
        <v>177</v>
      </c>
      <c r="I33" t="s">
        <v>178</v>
      </c>
      <c r="J33">
        <f t="shared" si="2"/>
        <v>5.1209999999999999E-2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6.1451999999999993E-2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309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cover cap grey</v>
      </c>
      <c r="D34">
        <v>294837</v>
      </c>
      <c r="E34" t="s">
        <v>184</v>
      </c>
      <c r="F34" t="s">
        <v>185</v>
      </c>
      <c r="G34" t="s">
        <v>186</v>
      </c>
      <c r="H34" t="s">
        <v>187</v>
      </c>
      <c r="I34" t="s">
        <v>188</v>
      </c>
      <c r="J34">
        <f t="shared" si="2"/>
        <v>4.4949999999999997E-2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5.3939999999999995E-2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313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cover cap white</v>
      </c>
      <c r="D35">
        <v>294838</v>
      </c>
      <c r="E35" t="s">
        <v>189</v>
      </c>
      <c r="F35" t="s">
        <v>190</v>
      </c>
      <c r="G35" t="s">
        <v>191</v>
      </c>
      <c r="H35" t="s">
        <v>192</v>
      </c>
      <c r="I35" t="s">
        <v>193</v>
      </c>
      <c r="J35">
        <f t="shared" si="2"/>
        <v>4.4949999999999997E-2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5.3939999999999995E-2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314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cover cap dark grey</v>
      </c>
      <c r="D36">
        <v>294839</v>
      </c>
      <c r="E36" t="s">
        <v>194</v>
      </c>
      <c r="F36" t="s">
        <v>195</v>
      </c>
      <c r="G36" t="s">
        <v>196</v>
      </c>
      <c r="H36" t="s">
        <v>197</v>
      </c>
      <c r="I36" t="s">
        <v>198</v>
      </c>
      <c r="J36">
        <f t="shared" si="2"/>
        <v>4.4949999999999997E-2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5.3939999999999995E-2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315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cover cap grey</v>
      </c>
      <c r="D37">
        <v>103739</v>
      </c>
      <c r="E37" t="s">
        <v>276</v>
      </c>
      <c r="F37" t="s">
        <v>261</v>
      </c>
      <c r="G37" t="s">
        <v>277</v>
      </c>
      <c r="H37" t="s">
        <v>262</v>
      </c>
      <c r="I37" t="s">
        <v>263</v>
      </c>
      <c r="J37">
        <f t="shared" si="2"/>
        <v>4.9950000000000001E-2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5.994E-2</v>
      </c>
      <c r="R37" t="s">
        <v>50</v>
      </c>
      <c r="S37" s="7" t="s">
        <v>49</v>
      </c>
      <c r="T37" t="s">
        <v>55</v>
      </c>
      <c r="U37" t="s">
        <v>11</v>
      </c>
      <c r="Y37" t="s">
        <v>316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arm cover cap</v>
      </c>
      <c r="D38">
        <v>105363</v>
      </c>
      <c r="E38" t="s">
        <v>179</v>
      </c>
      <c r="F38" t="s">
        <v>180</v>
      </c>
      <c r="G38" t="s">
        <v>181</v>
      </c>
      <c r="H38" t="s">
        <v>182</v>
      </c>
      <c r="I38" t="s">
        <v>183</v>
      </c>
      <c r="J38">
        <f t="shared" si="2"/>
        <v>6.6650000000000001E-2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7.9979999999999996E-2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319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cover cap of cup</v>
      </c>
      <c r="D39">
        <v>105408</v>
      </c>
      <c r="E39" t="s">
        <v>278</v>
      </c>
      <c r="F39" t="s">
        <v>264</v>
      </c>
      <c r="G39" t="s">
        <v>265</v>
      </c>
      <c r="H39" t="s">
        <v>266</v>
      </c>
      <c r="I39" t="s">
        <v>267</v>
      </c>
      <c r="J39">
        <f t="shared" si="2"/>
        <v>8.8289999999999993E-2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0.10594799999999999</v>
      </c>
      <c r="R39" t="s">
        <v>50</v>
      </c>
      <c r="S39" s="7" t="s">
        <v>49</v>
      </c>
      <c r="T39" t="s">
        <v>56</v>
      </c>
      <c r="U39" t="s">
        <v>12</v>
      </c>
      <c r="Y39" t="s">
        <v>320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Y7:Z8"/>
    <mergeCell ref="K7:O7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323</v>
      </c>
      <c r="B2">
        <v>372347</v>
      </c>
      <c r="C2" t="s">
        <v>292</v>
      </c>
      <c r="D2">
        <v>372347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292</v>
      </c>
    </row>
    <row r="3" spans="1:25" x14ac:dyDescent="0.25">
      <c r="A3" t="s">
        <v>323</v>
      </c>
      <c r="B3">
        <v>342261</v>
      </c>
      <c r="C3" t="s">
        <v>293</v>
      </c>
      <c r="D3">
        <v>342261</v>
      </c>
      <c r="E3" t="s">
        <v>103</v>
      </c>
      <c r="F3" t="s">
        <v>104</v>
      </c>
      <c r="G3" t="s">
        <v>105</v>
      </c>
      <c r="H3" t="s">
        <v>106</v>
      </c>
      <c r="I3" t="s">
        <v>107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293</v>
      </c>
    </row>
    <row r="4" spans="1:25" x14ac:dyDescent="0.25">
      <c r="A4" t="s">
        <v>323</v>
      </c>
      <c r="B4">
        <v>386188</v>
      </c>
      <c r="C4" t="s">
        <v>294</v>
      </c>
      <c r="D4">
        <v>386188</v>
      </c>
      <c r="E4" t="s">
        <v>108</v>
      </c>
      <c r="F4" t="s">
        <v>109</v>
      </c>
      <c r="G4" t="s">
        <v>110</v>
      </c>
      <c r="H4" t="s">
        <v>111</v>
      </c>
      <c r="I4" t="s">
        <v>112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294</v>
      </c>
    </row>
    <row r="5" spans="1:25" x14ac:dyDescent="0.25">
      <c r="A5" t="s">
        <v>323</v>
      </c>
      <c r="B5">
        <v>499740</v>
      </c>
      <c r="C5" t="s">
        <v>295</v>
      </c>
      <c r="D5">
        <v>499740</v>
      </c>
      <c r="E5" t="s">
        <v>113</v>
      </c>
      <c r="F5" t="s">
        <v>114</v>
      </c>
      <c r="G5" t="s">
        <v>248</v>
      </c>
      <c r="H5" t="s">
        <v>115</v>
      </c>
      <c r="I5" t="s">
        <v>116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295</v>
      </c>
    </row>
    <row r="6" spans="1:25" x14ac:dyDescent="0.25">
      <c r="A6" t="s">
        <v>323</v>
      </c>
      <c r="B6">
        <v>507277</v>
      </c>
      <c r="C6" t="s">
        <v>296</v>
      </c>
      <c r="D6">
        <v>507277</v>
      </c>
      <c r="E6" t="s">
        <v>117</v>
      </c>
      <c r="F6" t="s">
        <v>118</v>
      </c>
      <c r="G6" t="s">
        <v>249</v>
      </c>
      <c r="H6" t="s">
        <v>119</v>
      </c>
      <c r="I6" t="s">
        <v>120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296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126</v>
      </c>
      <c r="F8" t="s">
        <v>127</v>
      </c>
      <c r="G8" t="s">
        <v>128</v>
      </c>
      <c r="H8" t="s">
        <v>129</v>
      </c>
      <c r="I8" t="s">
        <v>130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298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131</v>
      </c>
      <c r="F9" t="s">
        <v>132</v>
      </c>
      <c r="G9" t="s">
        <v>133</v>
      </c>
      <c r="H9" t="s">
        <v>134</v>
      </c>
      <c r="I9" t="s">
        <v>135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299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136</v>
      </c>
      <c r="F10" t="s">
        <v>137</v>
      </c>
      <c r="G10" t="s">
        <v>250</v>
      </c>
      <c r="H10" t="s">
        <v>138</v>
      </c>
      <c r="I10" t="s">
        <v>139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300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205</v>
      </c>
      <c r="F12" t="s">
        <v>205</v>
      </c>
      <c r="G12" t="s">
        <v>205</v>
      </c>
      <c r="H12" t="s">
        <v>205</v>
      </c>
      <c r="I12" t="s">
        <v>206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310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207</v>
      </c>
      <c r="F13" t="s">
        <v>207</v>
      </c>
      <c r="G13" t="s">
        <v>207</v>
      </c>
      <c r="H13" t="s">
        <v>207</v>
      </c>
      <c r="I13" t="s">
        <v>208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311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209</v>
      </c>
      <c r="F14" t="s">
        <v>209</v>
      </c>
      <c r="G14" t="s">
        <v>209</v>
      </c>
      <c r="H14" t="s">
        <v>209</v>
      </c>
      <c r="I14" t="s">
        <v>210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312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199</v>
      </c>
      <c r="F16" t="s">
        <v>199</v>
      </c>
      <c r="G16" t="s">
        <v>199</v>
      </c>
      <c r="H16" t="s">
        <v>199</v>
      </c>
      <c r="I16" t="s">
        <v>199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200</v>
      </c>
      <c r="F17" t="s">
        <v>200</v>
      </c>
      <c r="G17" t="s">
        <v>200</v>
      </c>
      <c r="H17" t="s">
        <v>200</v>
      </c>
      <c r="I17" t="s">
        <v>201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202</v>
      </c>
      <c r="F18" t="s">
        <v>203</v>
      </c>
      <c r="G18" t="s">
        <v>204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274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280</v>
      </c>
      <c r="F20" t="s">
        <v>268</v>
      </c>
      <c r="G20" t="s">
        <v>269</v>
      </c>
      <c r="H20" t="s">
        <v>270</v>
      </c>
      <c r="I20" t="s">
        <v>271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92"/>
      <c r="M2" s="92"/>
    </row>
    <row r="6" spans="1:13" x14ac:dyDescent="0.25">
      <c r="B6" t="s">
        <v>327</v>
      </c>
    </row>
    <row r="7" spans="1:13" x14ac:dyDescent="0.25">
      <c r="B7" t="s">
        <v>455</v>
      </c>
    </row>
    <row r="9" spans="1:13" x14ac:dyDescent="0.25">
      <c r="B9" t="s">
        <v>255</v>
      </c>
      <c r="C9" s="26">
        <f>Config!D8</f>
        <v>0</v>
      </c>
    </row>
    <row r="10" spans="1:13" x14ac:dyDescent="0.25">
      <c r="B10" t="s">
        <v>242</v>
      </c>
      <c r="C10" s="91" t="e">
        <f>VLOOKUP(Config!D6,karty!C:E,3,0)</f>
        <v>#N/A</v>
      </c>
    </row>
    <row r="11" spans="1:13" x14ac:dyDescent="0.25">
      <c r="C11" s="91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okud_x0020_jste_x0020_odpov_x011b_d_x011b_li_x0020_ano_x002c__x0020_jak_x00fd__x0020_zp_x016f_sob_x0020_preferujete_x003f_ xmlns="9cacabe1-a925-4c8e-93ad-bc3cc27619b4" xsi:nil="true"/>
    <M_x00e1_te_x0020_z_x00e1_jem_x002c__x0020_aby_x0020_V_x00e1_s_x0020_kontaktoval_x0020_n_x00e1__x0161__x0020_obchodn_x00ed_k_x0020_a_x0020_pomohl_x0020_V_x00e1_m_x0020_s_x0020_prvn_x00ed__x0020_objedn_x00e1_vkou_x003f_ xmlns="9cacabe1-a925-4c8e-93ad-bc3cc27619b4"/>
    <lcf76f155ced4ddcb4097134ff3c332f xmlns="9cacabe1-a925-4c8e-93ad-bc3cc27619b4">
      <Terms xmlns="http://schemas.microsoft.com/office/infopath/2007/PartnerControls"/>
    </lcf76f155ced4ddcb4097134ff3c332f>
    <Co_x0020_je_x0020_hlavn_x00ed_m_x0020_d_x016f_vodem_x002c__x0020_pro_x010d__x0020_jste_x0020_u_x0020_n_x00e1_s_x0020_zat_x00ed_m_x0020_nenakoupili_x003f_ xmlns="9cacabe1-a925-4c8e-93ad-bc3cc27619b4"/>
    <Co_x0020_by_x0020_V_x00e1_m_x0020_nejv_x00ed_ce_x0020_pomohlo_x0020_k_x0020_prvn_x00ed__x0020_objedn_x00e1_vce_x003f_ xmlns="9cacabe1-a925-4c8e-93ad-bc3cc27619b4"/>
    <Asana xmlns="9cacabe1-a925-4c8e-93ad-bc3cc27619b4">
      <Url xsi:nil="true"/>
      <Description xsi:nil="true"/>
    </Asana>
    <Je_x0020_n_x011b_co_x002c__x0020_co_x0020_V_x00e1_m_x0020_na_x0020_port_x00e1_lu_x0020_nebo_x0020_v_x0020_nab_x00ed_dce_x0020_chyb_x011b_lo_x003f_ xmlns="9cacabe1-a925-4c8e-93ad-bc3cc27619b4" xsi:nil="true"/>
    <Jak_x0020_hodnot_x00ed_te_x0020_p_x0159_ehlednost_x0020_port_x00e1_lu_x0020_D_x00e9_mos24Plus_x003f_ xmlns="9cacabe1-a925-4c8e-93ad-bc3cc27619b4"/>
    <TaxCatchAll xmlns="cd5ff2c2-d0f5-469d-bf4e-c27dd00b98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3" ma:contentTypeDescription="Vytvoří nový dokument" ma:contentTypeScope="" ma:versionID="2d682919cf980efeefb21c4aff4a28d7">
  <xsd:schema xmlns:xsd="http://www.w3.org/2001/XMLSchema" xmlns:xs="http://www.w3.org/2001/XMLSchema" xmlns:p="http://schemas.microsoft.com/office/2006/metadata/properties" xmlns:ns2="cd5ff2c2-d0f5-469d-bf4e-c27dd00b986b" xmlns:ns3="9cacabe1-a925-4c8e-93ad-bc3cc27619b4" targetNamespace="http://schemas.microsoft.com/office/2006/metadata/properties" ma:root="true" ma:fieldsID="e64993eaced49c877b91cf0948fb2ebe" ns2:_="" ns3:_="">
    <xsd:import namespace="cd5ff2c2-d0f5-469d-bf4e-c27dd00b986b"/>
    <xsd:import namespace="9cacabe1-a925-4c8e-93ad-bc3cc27619b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Asana" minOccurs="0"/>
                <xsd:element ref="ns3:MediaServiceLocation" minOccurs="0"/>
                <xsd:element ref="ns3:Co_x0020_je_x0020_hlavn_x00ed_m_x0020_d_x016f_vodem_x002c__x0020_pro_x010d__x0020_jste_x0020_u_x0020_n_x00e1_s_x0020_zat_x00ed_m_x0020_nenakoupili_x003f_"/>
                <xsd:element ref="ns3:Co_x0020_by_x0020_V_x00e1_m_x0020_nejv_x00ed_ce_x0020_pomohlo_x0020_k_x0020_prvn_x00ed__x0020_objedn_x00e1_vce_x003f_"/>
                <xsd:element ref="ns3:Jak_x0020_hodnot_x00ed_te_x0020_p_x0159_ehlednost_x0020_port_x00e1_lu_x0020_D_x00e9_mos24Plus_x003f_"/>
                <xsd:element ref="ns3:M_x00e1_te_x0020_z_x00e1_jem_x002c__x0020_aby_x0020_V_x00e1_s_x0020_kontaktoval_x0020_n_x00e1__x0161__x0020_obchodn_x00ed_k_x0020_a_x0020_pomohl_x0020_V_x00e1_m_x0020_s_x0020_prvn_x00ed__x0020_objedn_x00e1_vkou_x003f_"/>
                <xsd:element ref="ns3:Pokud_x0020_jste_x0020_odpov_x011b_d_x011b_li_x0020_ano_x002c__x0020_jak_x00fd__x0020_zp_x016f_sob_x0020_preferujete_x003f_" minOccurs="0"/>
                <xsd:element ref="ns3:Je_x0020_n_x011b_co_x002c__x0020_co_x0020_V_x00e1_m_x0020_na_x0020_port_x00e1_lu_x0020_nebo_x0020_v_x0020_nab_x00ed_dce_x0020_chyb_x011b_l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64a384c-dde1-4814-9aab-284c87304fd8}" ma:internalName="TaxCatchAll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Asana" ma:index="22" nillable="true" ma:displayName="Asana" ma:description="Odkaz na položku roadmapy do Asany" ma:format="Hyperlink" ma:internalName="Asana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Co_x0020_je_x0020_hlavn_x00ed_m_x0020_d_x016f_vodem_x002c__x0020_pro_x010d__x0020_jste_x0020_u_x0020_n_x00e1_s_x0020_zat_x00ed_m_x0020_nenakoupili_x003f_" ma:index="24" ma:displayName="Co je hlavním důvodem, proč jste u nás zatím nenakoupili?" ma:format="Dropdown" ma:internalName="Co_x0020_je_x0020_hlavn_x00ed_m_x0020_d_x016f_vodem_x002c__x0020_pro_x010d__x0020_jste_x0020_u_x0020_n_x00e1_s_x0020_zat_x00ed_m_x0020_nenakoupili_x003f_">
      <xsd:simpleType>
        <xsd:restriction base="dms:Choice">
          <xsd:enumeration value="Zatím jsem neměl/a potřebu objednávat"/>
          <xsd:enumeration value="Nakupuji aktuálně u jiného dodavatele"/>
          <xsd:enumeration value="Nenašel/nenašla jsem sortiment, který potřebuji"/>
          <xsd:enumeration value="Ceny pro mě nebyly dostatečně zajímavé"/>
          <xsd:enumeration value="Nebyla jasná dostupnost nebo termín dodání"/>
          <xsd:enumeration value="Objednávkový proces mi nebyl úplně srozumitelný"/>
          <xsd:enumeration value="Chyběly mi informace k produktům"/>
          <xsd:enumeration value="Čekám na schválení / rozhodnutí ve firmě"/>
          <xsd:enumeration value="Zatím jsem si portál jen prohlížel/a"/>
          <xsd:enumeration value="Jiný důvod"/>
        </xsd:restriction>
      </xsd:simpleType>
    </xsd:element>
    <xsd:element name="Co_x0020_by_x0020_V_x00e1_m_x0020_nejv_x00ed_ce_x0020_pomohlo_x0020_k_x0020_prvn_x00ed__x0020_objedn_x00e1_vce_x003f_" ma:index="25" ma:displayName="Co by Vám nejvíce pomohlo k první objednávce?" ma:format="Dropdown" ma:internalName="Co_x0020_by_x0020_V_x00e1_m_x0020_nejv_x00ed_ce_x0020_pomohlo_x0020_k_x0020_prvn_x00ed__x0020_objedn_x00e1_vce_x003f_">
      <xsd:simpleType>
        <xsd:restriction base="dms:Choice">
          <xsd:enumeration value="Výhodnější cenová nabídka"/>
          <xsd:enumeration value="Rychlá pomoc s výběrem produktu"/>
          <xsd:enumeration value="Kontakt od obchodního zástupce"/>
          <xsd:enumeration value="Lepší přehled o dostupnosti zboží"/>
        </xsd:restriction>
      </xsd:simpleType>
    </xsd:element>
    <xsd:element name="Jak_x0020_hodnot_x00ed_te_x0020_p_x0159_ehlednost_x0020_port_x00e1_lu_x0020_D_x00e9_mos24Plus_x003f_" ma:index="26" ma:displayName="Jak hodnotíte přehlednost portálu Démos24Plus?" ma:format="Dropdown" ma:internalName="Jak_x0020_hodnot_x00ed_te_x0020_p_x0159_ehlednost_x0020_port_x00e1_lu_x0020_D_x00e9_mos24Plus_x003f_">
      <xsd:simpleType>
        <xsd:restriction base="dms:Choice">
          <xsd:enumeration value="1 – velmi nepřehledný"/>
          <xsd:enumeration value="2 – spíše nepřehledný"/>
          <xsd:enumeration value="3 – průměrný"/>
          <xsd:enumeration value="4 – spíše přehledný"/>
          <xsd:enumeration value="5 – velmi přehledný"/>
          <xsd:enumeration value="Zatím nemohu posoudit"/>
        </xsd:restriction>
      </xsd:simpleType>
    </xsd:element>
    <xsd:element name="M_x00e1_te_x0020_z_x00e1_jem_x002c__x0020_aby_x0020_V_x00e1_s_x0020_kontaktoval_x0020_n_x00e1__x0161__x0020_obchodn_x00ed_k_x0020_a_x0020_pomohl_x0020_V_x00e1_m_x0020_s_x0020_prvn_x00ed__x0020_objedn_x00e1_vkou_x003f_" ma:index="27" ma:displayName="Máte zájem, aby Vás kontaktoval náš obchodník a pomohl Vám s první objednávkou?" ma:format="Dropdown" ma:internalName="M_x00e1_te_x0020_z_x00e1_jem_x002c__x0020_aby_x0020_V_x00e1_s_x0020_kontaktoval_x0020_n_x00e1__x0161__x0020_obchodn_x00ed_k_x0020_a_x0020_pomohl_x0020_V_x00e1_m_x0020_s_x0020_prvn_x00ed__x0020_objedn_x00e1_vkou_x003f_">
      <xsd:simpleType>
        <xsd:restriction base="dms:Choice">
          <xsd:enumeration value="Ano, prosím kontaktujte mě"/>
          <xsd:enumeration value="Ne, děkuji"/>
          <xsd:enumeration value="Možná později"/>
        </xsd:restriction>
      </xsd:simpleType>
    </xsd:element>
    <xsd:element name="Pokud_x0020_jste_x0020_odpov_x011b_d_x011b_li_x0020_ano_x002c__x0020_jak_x00fd__x0020_zp_x016f_sob_x0020_preferujete_x003f_" ma:index="28" nillable="true" ma:displayName="Pokud jste odpověděli ano, jaký způsob preferujete?" ma:format="Dropdown" ma:internalName="Pokud_x0020_jste_x0020_odpov_x011b_d_x011b_li_x0020_ano_x002c__x0020_jak_x00fd__x0020_zp_x016f_sob_x0020_preferujete_x003f_">
      <xsd:simpleType>
        <xsd:restriction base="dms:Choice">
          <xsd:enumeration value="Telefon"/>
          <xsd:enumeration value="E-mail"/>
          <xsd:enumeration value="Volba 3"/>
        </xsd:restriction>
      </xsd:simpleType>
    </xsd:element>
    <xsd:element name="Je_x0020_n_x011b_co_x002c__x0020_co_x0020_V_x00e1_m_x0020_na_x0020_port_x00e1_lu_x0020_nebo_x0020_v_x0020_nab_x00ed_dce_x0020_chyb_x011b_lo_x003f_" ma:index="29" nillable="true" ma:displayName="Je něco, co Vám na portálu nebo v nabídce chybělo?" ma:internalName="Je_x0020_n_x011b_co_x002c__x0020_co_x0020_V_x00e1_m_x0020_na_x0020_port_x00e1_lu_x0020_nebo_x0020_v_x0020_nab_x00ed_dce_x0020_chyb_x011b_lo_x003f_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A91BC5-7DE5-4B16-8799-A0F17D6F0F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64B55F-3F95-4F18-87BC-259975A376CF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cacabe1-a925-4c8e-93ad-bc3cc27619b4"/>
    <ds:schemaRef ds:uri="cd5ff2c2-d0f5-469d-bf4e-c27dd00b986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4827FCA-9812-4C34-9EF4-E878443D42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ff2c2-d0f5-469d-bf4e-c27dd00b986b"/>
    <ds:schemaRef ds:uri="9cacabe1-a925-4c8e-93ad-bc3cc27619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cp:lastPrinted>2026-06-15T06:59:59Z</cp:lastPrinted>
  <dcterms:created xsi:type="dcterms:W3CDTF">2025-07-23T11:55:42Z</dcterms:created>
  <dcterms:modified xsi:type="dcterms:W3CDTF">2026-06-15T10:55:23Z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</Properties>
</file>