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8_{065DE06B-E4CA-43F3-B6C5-A62391BD40CB}"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<sst xmlns="http://schemas.openxmlformats.org/spreadsheetml/2006/main" count="21013" uniqueCount="4545">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</sst>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3.png"/><Relationship Id="rId26" Type="http://schemas.openxmlformats.org/officeDocument/2006/relationships/image" Target="../media/image52.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44.emf"/><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28" Type="http://schemas.openxmlformats.org/officeDocument/2006/relationships/image" Target="../media/image54.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 Id="rId27" Type="http://schemas.openxmlformats.org/officeDocument/2006/relationships/image" Target="../media/image53.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94.jpeg"/><Relationship Id="rId18" Type="http://schemas.openxmlformats.org/officeDocument/2006/relationships/image" Target="../media/image99.jpeg"/><Relationship Id="rId26" Type="http://schemas.openxmlformats.org/officeDocument/2006/relationships/image" Target="../media/image107.jpeg"/><Relationship Id="rId21" Type="http://schemas.openxmlformats.org/officeDocument/2006/relationships/image" Target="../media/image102.jpeg"/><Relationship Id="rId34" Type="http://schemas.openxmlformats.org/officeDocument/2006/relationships/image" Target="../media/image5.png"/><Relationship Id="rId7" Type="http://schemas.openxmlformats.org/officeDocument/2006/relationships/image" Target="../media/image88.jpeg"/><Relationship Id="rId12" Type="http://schemas.openxmlformats.org/officeDocument/2006/relationships/image" Target="../media/image93.jpeg"/><Relationship Id="rId17" Type="http://schemas.openxmlformats.org/officeDocument/2006/relationships/image" Target="../media/image98.jpeg"/><Relationship Id="rId25" Type="http://schemas.openxmlformats.org/officeDocument/2006/relationships/image" Target="../media/image106.jpeg"/><Relationship Id="rId33" Type="http://schemas.openxmlformats.org/officeDocument/2006/relationships/image" Target="../media/image114.jpeg"/><Relationship Id="rId38" Type="http://schemas.openxmlformats.org/officeDocument/2006/relationships/image" Target="../media/image118.jpeg"/><Relationship Id="rId2" Type="http://schemas.openxmlformats.org/officeDocument/2006/relationships/image" Target="../media/image83.jpeg"/><Relationship Id="rId16" Type="http://schemas.openxmlformats.org/officeDocument/2006/relationships/image" Target="../media/image97.jpeg"/><Relationship Id="rId20" Type="http://schemas.openxmlformats.org/officeDocument/2006/relationships/image" Target="../media/image101.jpeg"/><Relationship Id="rId29" Type="http://schemas.openxmlformats.org/officeDocument/2006/relationships/image" Target="../media/image110.jpeg"/><Relationship Id="rId1" Type="http://schemas.openxmlformats.org/officeDocument/2006/relationships/image" Target="../media/image82.jpeg"/><Relationship Id="rId6" Type="http://schemas.openxmlformats.org/officeDocument/2006/relationships/image" Target="../media/image87.jpeg"/><Relationship Id="rId11" Type="http://schemas.openxmlformats.org/officeDocument/2006/relationships/image" Target="../media/image92.jpeg"/><Relationship Id="rId24" Type="http://schemas.openxmlformats.org/officeDocument/2006/relationships/image" Target="../media/image105.jpeg"/><Relationship Id="rId32" Type="http://schemas.openxmlformats.org/officeDocument/2006/relationships/image" Target="../media/image113.jpeg"/><Relationship Id="rId37" Type="http://schemas.openxmlformats.org/officeDocument/2006/relationships/image" Target="../media/image117.jpeg"/><Relationship Id="rId5" Type="http://schemas.openxmlformats.org/officeDocument/2006/relationships/image" Target="../media/image86.jpeg"/><Relationship Id="rId15" Type="http://schemas.openxmlformats.org/officeDocument/2006/relationships/image" Target="../media/image96.jpeg"/><Relationship Id="rId23" Type="http://schemas.openxmlformats.org/officeDocument/2006/relationships/image" Target="../media/image104.jpeg"/><Relationship Id="rId28" Type="http://schemas.openxmlformats.org/officeDocument/2006/relationships/image" Target="../media/image109.jpeg"/><Relationship Id="rId36" Type="http://schemas.openxmlformats.org/officeDocument/2006/relationships/image" Target="../media/image116.jpeg"/><Relationship Id="rId10" Type="http://schemas.openxmlformats.org/officeDocument/2006/relationships/image" Target="../media/image91.jpeg"/><Relationship Id="rId19" Type="http://schemas.openxmlformats.org/officeDocument/2006/relationships/image" Target="../media/image100.jpeg"/><Relationship Id="rId31" Type="http://schemas.openxmlformats.org/officeDocument/2006/relationships/image" Target="../media/image112.jpeg"/><Relationship Id="rId4" Type="http://schemas.openxmlformats.org/officeDocument/2006/relationships/image" Target="../media/image85.jpeg"/><Relationship Id="rId9" Type="http://schemas.openxmlformats.org/officeDocument/2006/relationships/image" Target="../media/image90.jpeg"/><Relationship Id="rId14" Type="http://schemas.openxmlformats.org/officeDocument/2006/relationships/image" Target="../media/image95.jpeg"/><Relationship Id="rId22" Type="http://schemas.openxmlformats.org/officeDocument/2006/relationships/image" Target="../media/image103.jpeg"/><Relationship Id="rId27" Type="http://schemas.openxmlformats.org/officeDocument/2006/relationships/image" Target="../media/image108.jpeg"/><Relationship Id="rId30" Type="http://schemas.openxmlformats.org/officeDocument/2006/relationships/image" Target="../media/image111.jpeg"/><Relationship Id="rId35" Type="http://schemas.openxmlformats.org/officeDocument/2006/relationships/image" Target="../media/image115.png"/><Relationship Id="rId8" Type="http://schemas.openxmlformats.org/officeDocument/2006/relationships/image" Target="../media/image89.jpeg"/><Relationship Id="rId3" Type="http://schemas.openxmlformats.org/officeDocument/2006/relationships/image" Target="../media/image84.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6.emf"/><Relationship Id="rId3" Type="http://schemas.openxmlformats.org/officeDocument/2006/relationships/image" Target="../media/image121.emf"/><Relationship Id="rId7" Type="http://schemas.openxmlformats.org/officeDocument/2006/relationships/image" Target="../media/image125.emf"/><Relationship Id="rId12" Type="http://schemas.openxmlformats.org/officeDocument/2006/relationships/image" Target="../media/image130.emf"/><Relationship Id="rId2" Type="http://schemas.openxmlformats.org/officeDocument/2006/relationships/image" Target="../media/image120.emf"/><Relationship Id="rId1" Type="http://schemas.openxmlformats.org/officeDocument/2006/relationships/image" Target="../media/image119.emf"/><Relationship Id="rId6" Type="http://schemas.openxmlformats.org/officeDocument/2006/relationships/image" Target="../media/image124.emf"/><Relationship Id="rId11" Type="http://schemas.openxmlformats.org/officeDocument/2006/relationships/image" Target="../media/image129.emf"/><Relationship Id="rId5" Type="http://schemas.openxmlformats.org/officeDocument/2006/relationships/image" Target="../media/image123.emf"/><Relationship Id="rId10" Type="http://schemas.openxmlformats.org/officeDocument/2006/relationships/image" Target="../media/image128.emf"/><Relationship Id="rId4" Type="http://schemas.openxmlformats.org/officeDocument/2006/relationships/image" Target="../media/image122.emf"/><Relationship Id="rId9" Type="http://schemas.openxmlformats.org/officeDocument/2006/relationships/image" Target="../media/image127.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62.emf"/><Relationship Id="rId13" Type="http://schemas.openxmlformats.org/officeDocument/2006/relationships/image" Target="../media/image67.emf"/><Relationship Id="rId18" Type="http://schemas.openxmlformats.org/officeDocument/2006/relationships/image" Target="../media/image72.emf"/><Relationship Id="rId26" Type="http://schemas.openxmlformats.org/officeDocument/2006/relationships/image" Target="../media/image80.emf"/><Relationship Id="rId3" Type="http://schemas.openxmlformats.org/officeDocument/2006/relationships/image" Target="../media/image57.emf"/><Relationship Id="rId21" Type="http://schemas.openxmlformats.org/officeDocument/2006/relationships/image" Target="../media/image75.emf"/><Relationship Id="rId7" Type="http://schemas.openxmlformats.org/officeDocument/2006/relationships/image" Target="../media/image61.emf"/><Relationship Id="rId12" Type="http://schemas.openxmlformats.org/officeDocument/2006/relationships/image" Target="../media/image66.emf"/><Relationship Id="rId17" Type="http://schemas.openxmlformats.org/officeDocument/2006/relationships/image" Target="../media/image71.emf"/><Relationship Id="rId25" Type="http://schemas.openxmlformats.org/officeDocument/2006/relationships/image" Target="../media/image79.emf"/><Relationship Id="rId2" Type="http://schemas.openxmlformats.org/officeDocument/2006/relationships/image" Target="../media/image56.emf"/><Relationship Id="rId16" Type="http://schemas.openxmlformats.org/officeDocument/2006/relationships/image" Target="../media/image70.emf"/><Relationship Id="rId20" Type="http://schemas.openxmlformats.org/officeDocument/2006/relationships/image" Target="../media/image74.emf"/><Relationship Id="rId1" Type="http://schemas.openxmlformats.org/officeDocument/2006/relationships/image" Target="../media/image55.emf"/><Relationship Id="rId6" Type="http://schemas.openxmlformats.org/officeDocument/2006/relationships/image" Target="../media/image60.emf"/><Relationship Id="rId11" Type="http://schemas.openxmlformats.org/officeDocument/2006/relationships/image" Target="../media/image65.emf"/><Relationship Id="rId24" Type="http://schemas.openxmlformats.org/officeDocument/2006/relationships/image" Target="../media/image78.emf"/><Relationship Id="rId5" Type="http://schemas.openxmlformats.org/officeDocument/2006/relationships/image" Target="../media/image59.emf"/><Relationship Id="rId15" Type="http://schemas.openxmlformats.org/officeDocument/2006/relationships/image" Target="../media/image69.emf"/><Relationship Id="rId23" Type="http://schemas.openxmlformats.org/officeDocument/2006/relationships/image" Target="../media/image77.emf"/><Relationship Id="rId10" Type="http://schemas.openxmlformats.org/officeDocument/2006/relationships/image" Target="../media/image64.emf"/><Relationship Id="rId19" Type="http://schemas.openxmlformats.org/officeDocument/2006/relationships/image" Target="../media/image73.emf"/><Relationship Id="rId4" Type="http://schemas.openxmlformats.org/officeDocument/2006/relationships/image" Target="../media/image58.emf"/><Relationship Id="rId9" Type="http://schemas.openxmlformats.org/officeDocument/2006/relationships/image" Target="../media/image63.emf"/><Relationship Id="rId14" Type="http://schemas.openxmlformats.org/officeDocument/2006/relationships/image" Target="../media/image68.emf"/><Relationship Id="rId22" Type="http://schemas.openxmlformats.org/officeDocument/2006/relationships/image" Target="../media/image76.emf"/><Relationship Id="rId27" Type="http://schemas.openxmlformats.org/officeDocument/2006/relationships/image" Target="../media/image81.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8.emf"/><Relationship Id="rId3" Type="http://schemas.openxmlformats.org/officeDocument/2006/relationships/image" Target="../media/image133.emf"/><Relationship Id="rId7" Type="http://schemas.openxmlformats.org/officeDocument/2006/relationships/image" Target="../media/image137.emf"/><Relationship Id="rId12" Type="http://schemas.openxmlformats.org/officeDocument/2006/relationships/image" Target="../media/image142.emf"/><Relationship Id="rId2" Type="http://schemas.openxmlformats.org/officeDocument/2006/relationships/image" Target="../media/image132.emf"/><Relationship Id="rId1" Type="http://schemas.openxmlformats.org/officeDocument/2006/relationships/image" Target="../media/image131.emf"/><Relationship Id="rId6" Type="http://schemas.openxmlformats.org/officeDocument/2006/relationships/image" Target="../media/image136.emf"/><Relationship Id="rId11" Type="http://schemas.openxmlformats.org/officeDocument/2006/relationships/image" Target="../media/image141.emf"/><Relationship Id="rId5" Type="http://schemas.openxmlformats.org/officeDocument/2006/relationships/image" Target="../media/image135.emf"/><Relationship Id="rId10" Type="http://schemas.openxmlformats.org/officeDocument/2006/relationships/image" Target="../media/image140.emf"/><Relationship Id="rId4" Type="http://schemas.openxmlformats.org/officeDocument/2006/relationships/image" Target="../media/image134.emf"/><Relationship Id="rId9" Type="http://schemas.openxmlformats.org/officeDocument/2006/relationships/image" Target="../media/image13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71"/>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72"/>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76"/>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77"/>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9147"/>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9148"/>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9149"/>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9150"/>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9151"/>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9152"/>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9153"/>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9154"/>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9155"/>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9156"/>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9157"/>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9158"/>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9159"/>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9160"/>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9161"/>
                </a:ext>
              </a:extLst>
            </xdr:cNvPicPr>
          </xdr:nvPicPr>
          <xdr:blipFill>
            <a:blip xmlns:r="http://schemas.openxmlformats.org/officeDocument/2006/relationships" r:embed="rId12"/>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9162"/>
                </a:ext>
              </a:extLst>
            </xdr:cNvPicPr>
          </xdr:nvPicPr>
          <xdr:blipFill>
            <a:blip xmlns:r="http://schemas.openxmlformats.org/officeDocument/2006/relationships" r:embed="rId13"/>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9163"/>
                </a:ext>
              </a:extLst>
            </xdr:cNvPicPr>
          </xdr:nvPicPr>
          <xdr:blipFill>
            <a:blip xmlns:r="http://schemas.openxmlformats.org/officeDocument/2006/relationships" r:embed="rId14"/>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9164"/>
                </a:ext>
              </a:extLst>
            </xdr:cNvPicPr>
          </xdr:nvPicPr>
          <xdr:blipFill>
            <a:blip xmlns:r="http://schemas.openxmlformats.org/officeDocument/2006/relationships" r:embed="rId12"/>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9165"/>
                </a:ext>
              </a:extLst>
            </xdr:cNvPicPr>
          </xdr:nvPicPr>
          <xdr:blipFill>
            <a:blip xmlns:r="http://schemas.openxmlformats.org/officeDocument/2006/relationships" r:embed="rId15"/>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9166"/>
                </a:ext>
              </a:extLst>
            </xdr:cNvPicPr>
          </xdr:nvPicPr>
          <xdr:blipFill>
            <a:blip xmlns:r="http://schemas.openxmlformats.org/officeDocument/2006/relationships" r:embed="rId16"/>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9167"/>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9168"/>
                </a:ext>
              </a:extLst>
            </xdr:cNvPicPr>
          </xdr:nvPicPr>
          <xdr:blipFill>
            <a:blip xmlns:r="http://schemas.openxmlformats.org/officeDocument/2006/relationships" r:embed="rId17"/>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9169"/>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8"/>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9170"/>
                </a:ext>
              </a:extLst>
            </xdr:cNvPicPr>
          </xdr:nvPicPr>
          <xdr:blipFill>
            <a:blip xmlns:r="http://schemas.openxmlformats.org/officeDocument/2006/relationships" r:embed="rId19"/>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9171"/>
                </a:ext>
              </a:extLst>
            </xdr:cNvPicPr>
          </xdr:nvPicPr>
          <xdr:blipFill>
            <a:blip xmlns:r="http://schemas.openxmlformats.org/officeDocument/2006/relationships" r:embed="rId16"/>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9172"/>
                </a:ext>
              </a:extLst>
            </xdr:cNvPicPr>
          </xdr:nvPicPr>
          <xdr:blipFill>
            <a:blip xmlns:r="http://schemas.openxmlformats.org/officeDocument/2006/relationships" r:embed="rId12"/>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9173"/>
                </a:ext>
              </a:extLst>
            </xdr:cNvPicPr>
          </xdr:nvPicPr>
          <xdr:blipFill>
            <a:blip xmlns:r="http://schemas.openxmlformats.org/officeDocument/2006/relationships" r:embed="rId20"/>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9174"/>
                </a:ext>
              </a:extLst>
            </xdr:cNvPicPr>
          </xdr:nvPicPr>
          <xdr:blipFill>
            <a:blip xmlns:r="http://schemas.openxmlformats.org/officeDocument/2006/relationships" r:embed="rId21"/>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9175"/>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9176"/>
                </a:ext>
              </a:extLst>
            </xdr:cNvPicPr>
          </xdr:nvPicPr>
          <xdr:blipFill>
            <a:blip xmlns:r="http://schemas.openxmlformats.org/officeDocument/2006/relationships" r:embed="rId22"/>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9177"/>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9178"/>
                </a:ext>
              </a:extLst>
            </xdr:cNvPicPr>
          </xdr:nvPicPr>
          <xdr:blipFill>
            <a:blip xmlns:r="http://schemas.openxmlformats.org/officeDocument/2006/relationships" r:embed="rId12"/>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9179"/>
                </a:ext>
              </a:extLst>
            </xdr:cNvPicPr>
          </xdr:nvPicPr>
          <xdr:blipFill>
            <a:blip xmlns:r="http://schemas.openxmlformats.org/officeDocument/2006/relationships" r:embed="rId23"/>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9180"/>
                </a:ext>
              </a:extLst>
            </xdr:cNvPicPr>
          </xdr:nvPicPr>
          <xdr:blipFill>
            <a:blip xmlns:r="http://schemas.openxmlformats.org/officeDocument/2006/relationships" r:embed="rId9"/>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9181"/>
                </a:ext>
              </a:extLst>
            </xdr:cNvPicPr>
          </xdr:nvPicPr>
          <xdr:blipFill>
            <a:blip xmlns:r="http://schemas.openxmlformats.org/officeDocument/2006/relationships" r:embed="rId12"/>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9182"/>
                </a:ext>
              </a:extLst>
            </xdr:cNvPicPr>
          </xdr:nvPicPr>
          <xdr:blipFill>
            <a:blip xmlns:r="http://schemas.openxmlformats.org/officeDocument/2006/relationships" r:embed="rId24"/>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9183"/>
                </a:ext>
              </a:extLst>
            </xdr:cNvPicPr>
          </xdr:nvPicPr>
          <xdr:blipFill>
            <a:blip xmlns:r="http://schemas.openxmlformats.org/officeDocument/2006/relationships" r:embed="rId11"/>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184"/>
                </a:ext>
              </a:extLst>
            </xdr:cNvPicPr>
          </xdr:nvPicPr>
          <xdr:blipFill>
            <a:blip xmlns:r="http://schemas.openxmlformats.org/officeDocument/2006/relationships" r:embed="rId12"/>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185"/>
                </a:ext>
              </a:extLst>
            </xdr:cNvPicPr>
          </xdr:nvPicPr>
          <xdr:blipFill>
            <a:blip xmlns:r="http://schemas.openxmlformats.org/officeDocument/2006/relationships" r:embed="rId25"/>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186"/>
                </a:ext>
              </a:extLst>
            </xdr:cNvPicPr>
          </xdr:nvPicPr>
          <xdr:blipFill>
            <a:blip xmlns:r="http://schemas.openxmlformats.org/officeDocument/2006/relationships" r:embed="rId14"/>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187"/>
                </a:ext>
              </a:extLst>
            </xdr:cNvPicPr>
          </xdr:nvPicPr>
          <xdr:blipFill>
            <a:blip xmlns:r="http://schemas.openxmlformats.org/officeDocument/2006/relationships" r:embed="rId12"/>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188"/>
                </a:ext>
              </a:extLst>
            </xdr:cNvPicPr>
          </xdr:nvPicPr>
          <xdr:blipFill>
            <a:blip xmlns:r="http://schemas.openxmlformats.org/officeDocument/2006/relationships" r:embed="rId26"/>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189"/>
                </a:ext>
              </a:extLst>
            </xdr:cNvPicPr>
          </xdr:nvPicPr>
          <xdr:blipFill>
            <a:blip xmlns:r="http://schemas.openxmlformats.org/officeDocument/2006/relationships" r:embed="rId27"/>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190"/>
                </a:ext>
              </a:extLst>
            </xdr:cNvPicPr>
          </xdr:nvPicPr>
          <xdr:blipFill>
            <a:blip xmlns:r="http://schemas.openxmlformats.org/officeDocument/2006/relationships" r:embed="rId12"/>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191"/>
                </a:ext>
              </a:extLst>
            </xdr:cNvPicPr>
          </xdr:nvPicPr>
          <xdr:blipFill>
            <a:blip xmlns:r="http://schemas.openxmlformats.org/officeDocument/2006/relationships" r:embed="rId28"/>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192"/>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30153"/>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30154"/>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30155"/>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30156"/>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30157"/>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30158"/>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30159"/>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30160"/>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30161"/>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30162"/>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30163"/>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30164"/>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30165"/>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30166"/>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30167"/>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30168"/>
                </a:ext>
              </a:extLst>
            </xdr:cNvPicPr>
          </xdr:nvPicPr>
          <xdr:blipFill>
            <a:blip xmlns:r="http://schemas.openxmlformats.org/officeDocument/2006/relationships" r:embed="rId9"/>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30169"/>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30170"/>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30171"/>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30172"/>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30173"/>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30174"/>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30175"/>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30176"/>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30177"/>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30178"/>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30179"/>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30180"/>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30181"/>
                </a:ext>
              </a:extLst>
            </xdr:cNvPicPr>
          </xdr:nvPicPr>
          <xdr:blipFill>
            <a:blip xmlns:r="http://schemas.openxmlformats.org/officeDocument/2006/relationships" r:embed="rId9"/>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30182"/>
                </a:ext>
              </a:extLst>
            </xdr:cNvPicPr>
          </xdr:nvPicPr>
          <xdr:blipFill>
            <a:blip xmlns:r="http://schemas.openxmlformats.org/officeDocument/2006/relationships" r:embed="rId4"/>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30183"/>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30184"/>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30185"/>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30186"/>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30187"/>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30188"/>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30189"/>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30190"/>
                </a:ext>
              </a:extLst>
            </xdr:cNvPicPr>
          </xdr:nvPicPr>
          <xdr:blipFill>
            <a:blip xmlns:r="http://schemas.openxmlformats.org/officeDocument/2006/relationships" r:embed="rId10"/>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30191"/>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30192"/>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30193"/>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30194"/>
                </a:ext>
              </a:extLst>
            </xdr:cNvPicPr>
          </xdr:nvPicPr>
          <xdr:blipFill>
            <a:blip xmlns:r="http://schemas.openxmlformats.org/officeDocument/2006/relationships" r:embed="rId11"/>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30195"/>
                </a:ext>
              </a:extLst>
            </xdr:cNvPicPr>
          </xdr:nvPicPr>
          <xdr:blipFill>
            <a:blip xmlns:r="http://schemas.openxmlformats.org/officeDocument/2006/relationships" r:embed="rId12"/>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30196"/>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30197"/>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30198"/>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30199"/>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30200"/>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30201"/>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30202"/>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30203"/>
                </a:ext>
              </a:extLst>
            </xdr:cNvPicPr>
          </xdr:nvPicPr>
          <xdr:blipFill>
            <a:blip xmlns:r="http://schemas.openxmlformats.org/officeDocument/2006/relationships" r:embed="rId7"/>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30204"/>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49"/>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50"/>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51"/>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52"/>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40"/>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41"/>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51"/>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52"/>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74"/>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75"/>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ENG</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Ordering Form - ALU frames</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Common frames</v>
      </c>
      <c r="C14" s="494"/>
      <c r="D14" s="494"/>
      <c r="E14" s="494"/>
      <c r="F14" s="494"/>
      <c r="G14" s="494"/>
      <c r="J14" s="127"/>
      <c r="K14" s="127"/>
      <c r="L14" s="127"/>
      <c r="Q14" s="494" t="str">
        <f>'Translate&amp;Prices&amp;Logo'!$B$309</f>
        <v>Sliding frames</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Glass order</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LACOBEL and Matelac colors</v>
      </c>
      <c r="C28" s="494"/>
      <c r="D28" s="494"/>
      <c r="E28" s="494"/>
      <c r="F28" s="494"/>
      <c r="G28" s="494"/>
      <c r="J28" s="127"/>
      <c r="K28" s="127"/>
      <c r="L28" s="127"/>
      <c r="Q28" s="494" t="str">
        <f>'Translate&amp;Prices&amp;Logo'!$B$310</f>
        <v>Drawings of profiles and connection fittings</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Prices are valid from  27.1.2026/Version 8.2</v>
      </c>
    </row>
    <row r="39" spans="1:22" ht="11.85" hidden="1" customHeight="1">
      <c r="V39" s="152">
        <v>5</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IF(Ram_1!$H$9=kombinace_1!M11,2,0)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Frame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IF(kombinace_2!FC2=TRUE,AB4,"")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Select Frame Position</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maximum profile length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Hinges</v>
      </c>
      <c r="M36" s="157" t="str">
        <v>Lifts</v>
      </c>
      <c r="P36" s="157" t="str" cm="1">
        <f t="array" ref="P36:P38">IF(H13=kombinace_2!BQ11,kombinace_2!$DN$2,kombinace_2!$DN$2:$DN$4)</f>
        <v>Overlay</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VLOOKUP(AD42,kombinace_2!ER1:ES120,2,0)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Narrow ALU Frame</v>
      </c>
      <c r="T54" s="157" t="str">
        <f t="array" ref="T54:T56">kombinace_2!$EN$3:$EN$5</f>
        <v>Not treated</v>
      </c>
      <c r="U54" s="157">
        <v>1</v>
      </c>
      <c r="X54" s="157" t="str">
        <f t="array" ref="X54:X56">kombinace_2!$X$3:$X$5</f>
        <v>Transparent</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D55" s="157" t="e">
        <f ca="1"/>
        <v>#N/A</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c r="AD56" s="157" t="e">
        <f ca="1"/>
        <v>#N/A</v>
      </c>
    </row>
    <row r="57" spans="1:46" s="157" customFormat="1" ht="14.85" hidden="1" customHeight="1">
      <c r="A57" s="140"/>
      <c r="B57" s="157" t="str">
        <v>Imola white matt RAL 9003 - maximum profile length 2500 mm</v>
      </c>
      <c r="K57" s="157" t="str">
        <v xml:space="preserve">MDF 18 mm </v>
      </c>
      <c r="AD57" s="157" t="e">
        <f ca="1"/>
        <v>#N/A</v>
      </c>
    </row>
    <row r="58" spans="1:46" s="157" customFormat="1" ht="14.85" hidden="1" customHeight="1">
      <c r="A58" s="140"/>
      <c r="B58" s="157" t="str">
        <v>Imola gold - maximum profile length 2150 mm</v>
      </c>
      <c r="K58" s="157" t="str">
        <v>DTDL 18 mm</v>
      </c>
      <c r="AD58" s="157" t="e">
        <f ca="1"/>
        <v>#N/A</v>
      </c>
    </row>
    <row r="59" spans="1:46" s="157" customFormat="1" ht="14.85" hidden="1" customHeight="1">
      <c r="A59" s="140"/>
      <c r="B59" s="157" t="str">
        <v>Modena (elox.) - maximum profile length 2500 mm</v>
      </c>
      <c r="T59" s="157">
        <f>IFERROR(VLOOKUP($H$21,$T$54:$U$56,2,0),0)</f>
        <v>0</v>
      </c>
      <c r="AD59" s="157" t="e">
        <f ca="1"/>
        <v>#N/A</v>
      </c>
    </row>
    <row r="60" spans="1:46" s="157" customFormat="1" ht="14.85" hidden="1" customHeight="1">
      <c r="A60" s="140"/>
      <c r="B60" s="157" t="str">
        <v>Modena black matt - maximum profile length 2500 mm</v>
      </c>
      <c r="K60" s="157" t="b">
        <f>K56=K61</f>
        <v>0</v>
      </c>
      <c r="AD60" s="157" t="e">
        <f ca="1"/>
        <v>#N/A</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c r="AD61" s="157" t="e">
        <f ca="1"/>
        <v>#N/A</v>
      </c>
    </row>
    <row r="62" spans="1:46" s="157" customFormat="1" ht="14.85" hidden="1" customHeight="1">
      <c r="A62" s="140"/>
      <c r="B62" s="157" t="str">
        <v>Modena dark stainless steel brushed - maximum profile length 2500 mm</v>
      </c>
      <c r="AD62" s="157" t="e">
        <f ca="1"/>
        <v>#N/A</v>
      </c>
    </row>
    <row r="63" spans="1:46" s="157" customFormat="1" ht="14.85" hidden="1" customHeight="1">
      <c r="A63" s="140"/>
      <c r="B63" s="157" t="str">
        <v>Modena brown - maximum profile length 2500 mm</v>
      </c>
      <c r="AD63" s="157" t="e">
        <f ca="1"/>
        <v>#N/A</v>
      </c>
    </row>
    <row r="64" spans="1:46" s="157" customFormat="1" ht="14.85" hidden="1" customHeight="1">
      <c r="A64" s="140"/>
      <c r="B64" s="157" t="str">
        <v>Pisa (elox.) - maximum profile length 2500 mm</v>
      </c>
      <c r="AD64" s="157" t="e">
        <f ca="1"/>
        <v>#N/A</v>
      </c>
    </row>
    <row r="65" spans="1:30"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Top door</v>
      </c>
      <c r="AD65" s="157" t="e">
        <f ca="1"/>
        <v>#N/A</v>
      </c>
    </row>
    <row r="66" spans="1:30"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c r="AD66" s="157" t="e">
        <f ca="1"/>
        <v>#N/A</v>
      </c>
    </row>
    <row r="67" spans="1:30"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c r="AD67" s="157" t="e">
        <f ca="1"/>
        <v>#N/A</v>
      </c>
    </row>
    <row r="68" spans="1:30"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c r="AD69" s="157" t="e">
        <f ca="1"/>
        <v>#N/A</v>
      </c>
    </row>
    <row r="70" spans="1:30"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c r="AD70" s="157" t="e">
        <f ca="1"/>
        <v>#N/A</v>
      </c>
    </row>
    <row r="71" spans="1:30"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c r="AD71" s="157" t="e">
        <f ca="1"/>
        <v>#N/A</v>
      </c>
    </row>
    <row r="72" spans="1:30" s="157" customFormat="1" ht="14.85" hidden="1" customHeight="1">
      <c r="A72" s="140"/>
      <c r="B72" s="157" t="str">
        <v>Verona (elox.) - maximum profile length 2500 mm</v>
      </c>
      <c r="AD72" s="157" t="e">
        <f ca="1"/>
        <v>#N/A</v>
      </c>
    </row>
    <row r="73" spans="1:30" s="157" customFormat="1" ht="14.85" hidden="1" customHeight="1">
      <c r="A73" s="140"/>
      <c r="B73" s="157" t="str">
        <v>Verona brushed aluminium - maximum profile length 2500 mm</v>
      </c>
      <c r="AD73" s="157" t="e">
        <f ca="1"/>
        <v>#N/A</v>
      </c>
    </row>
    <row r="74" spans="1:30" s="157" customFormat="1" ht="14.85" hidden="1" customHeight="1">
      <c r="A74" s="140"/>
      <c r="B74" s="157" t="str">
        <v>Verona black matt - maximum profile length 2500 mm</v>
      </c>
      <c r="AD74" s="157" t="e">
        <f ca="1"/>
        <v>#N/A</v>
      </c>
    </row>
    <row r="75" spans="1:30" s="157" customFormat="1" ht="14.85" hidden="1" customHeight="1">
      <c r="A75" s="140"/>
      <c r="B75" s="157" t="str">
        <v>Verona black gloss - maximum profile length 2500 mm</v>
      </c>
      <c r="AD75" s="157" t="e">
        <f ca="1"/>
        <v>#N/A</v>
      </c>
    </row>
    <row r="76" spans="1:30" s="157" customFormat="1" ht="14.85" hidden="1" customHeight="1">
      <c r="A76" s="140"/>
      <c r="B76" s="157" t="str">
        <v>Verona brown - maximum profile length 2500 mm</v>
      </c>
      <c r="AD76" s="157" t="e">
        <f ca="1"/>
        <v>#N/A</v>
      </c>
    </row>
    <row r="77" spans="1:30" s="157" customFormat="1" ht="14.85" hidden="1" customHeight="1">
      <c r="A77" s="140"/>
      <c r="B77" s="157" t="str">
        <v>Verona champagne - maximum profile length 2500 mm</v>
      </c>
      <c r="AD77" s="157" t="e">
        <f ca="1"/>
        <v>#N/A</v>
      </c>
    </row>
    <row r="78" spans="1:30" s="157" customFormat="1" ht="14.85" hidden="1" customHeight="1">
      <c r="A78" s="140"/>
      <c r="B78" s="157" t="str">
        <v>Verona dark stainless steel brushed - maximum profile length 2500 mm</v>
      </c>
      <c r="AD78" s="157" t="e">
        <f ca="1"/>
        <v>#N/A</v>
      </c>
    </row>
    <row r="79" spans="1:30" s="157" customFormat="1" ht="14.85" hidden="1" customHeight="1">
      <c r="A79" s="140"/>
      <c r="B79" s="157" t="str">
        <v>Verona light stainless steel (Acier gratta) - maximum profile length 2500 mm</v>
      </c>
      <c r="AD79" s="157" t="e">
        <f ca="1"/>
        <v>#N/A</v>
      </c>
    </row>
    <row r="80" spans="1:30" s="157" customFormat="1" ht="14.85" hidden="1" customHeight="1">
      <c r="A80" s="140"/>
      <c r="B80" s="157" t="str">
        <v>Verona Ivory mat - maximum profile length 2150 mm</v>
      </c>
      <c r="AD80" s="157" t="e">
        <f ca="1"/>
        <v>#N/A</v>
      </c>
    </row>
    <row r="81" spans="1:38" s="157" customFormat="1" ht="14.85" hidden="1" customHeight="1">
      <c r="A81" s="140"/>
      <c r="B81" s="157" t="str">
        <v>Verona cashmere - maximum profile length 2150 mm</v>
      </c>
      <c r="AD81" s="157" t="e">
        <f ca="1"/>
        <v>#N/A</v>
      </c>
    </row>
    <row r="82" spans="1:38" s="157" customFormat="1" ht="14.85" hidden="1" customHeight="1">
      <c r="A82" s="140"/>
      <c r="B82" s="157" t="str">
        <v>Verona gold - maximum profile length 2150 mm</v>
      </c>
      <c r="P82" s="157" t="str" cm="1">
        <f t="array" ref="P82:P85">IF(OR(H8=kombinace_2!F18,H8=kombinace_2!F19,H8=kombinace_2!A60,H8=kombinace_2!A61,H8=kombinace_2!A62,H8=kombinace_2!A63),_2_strany,IF(H15=kombinace_2!AB8,_ramena_HL,_4_strany))</f>
        <v>Top</v>
      </c>
      <c r="AD82" s="157" t="e">
        <f ca="1"/>
        <v>#N/A</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IF(Ram_2!$H$9=kombinace_2!M11,2,0)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Frame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IF(kombinace_3!FC2=TRUE,AB4,"")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Select Frame Position</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maximum profile length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Hinges</v>
      </c>
      <c r="M36" s="157" t="str">
        <v>Lifts</v>
      </c>
      <c r="P36" s="157" t="str" cm="1">
        <f t="array" ref="P36:P38">IF(H13=kombinace_3!BQ11,kombinace_3!$DN$2,kombinace_3!$DN$2:$DN$4)</f>
        <v>Overlay</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VLOOKUP(AD42,kombinace_3!ER1:ES120,2,0)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Narrow ALU Frame</v>
      </c>
      <c r="T54" s="157" t="str">
        <f t="array" ref="T54:T56">kombinace_3!$EN$3:$EN$5</f>
        <v>Not treated</v>
      </c>
      <c r="U54" s="157">
        <v>1</v>
      </c>
      <c r="X54" s="157" t="str">
        <f t="array" ref="X54:X56">kombinace_3!$X$3:$X$5</f>
        <v>Transparent</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row>
    <row r="57" spans="1:46" s="157" customFormat="1" ht="14.85" hidden="1" customHeight="1">
      <c r="A57" s="140"/>
      <c r="B57" s="157" t="str">
        <v>Imola white matt RAL 9003 - maximum profile length 2500 mm</v>
      </c>
      <c r="K57" s="157" t="str">
        <v xml:space="preserve">MDF 18 mm </v>
      </c>
    </row>
    <row r="58" spans="1:46" s="157" customFormat="1" ht="14.85" hidden="1" customHeight="1">
      <c r="A58" s="140"/>
      <c r="B58" s="157" t="str">
        <v>Imola gold - maximum profile length 2150 mm</v>
      </c>
      <c r="K58" s="157" t="str">
        <v>DTDL 18 mm</v>
      </c>
    </row>
    <row r="59" spans="1:46" s="157" customFormat="1" ht="14.85" hidden="1" customHeight="1">
      <c r="A59" s="140"/>
      <c r="B59" s="157" t="str">
        <v>Modena (elox.) - maximum profile length 2500 mm</v>
      </c>
      <c r="T59" s="157">
        <f>IFERROR(VLOOKUP($H$21,$T$54:$U$56,2,0),0)</f>
        <v>0</v>
      </c>
    </row>
    <row r="60" spans="1:46" s="157" customFormat="1" ht="14.85" hidden="1" customHeight="1">
      <c r="A60" s="140"/>
      <c r="B60" s="157" t="str">
        <v>Modena black matt - maximum profile length 2500 mm</v>
      </c>
      <c r="K60" s="157" t="b">
        <f>K56=K61</f>
        <v>0</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row>
    <row r="62" spans="1:46" s="157" customFormat="1" ht="14.85" hidden="1" customHeight="1">
      <c r="A62" s="140"/>
      <c r="B62" s="157" t="str">
        <v>Modena dark stainless steel brushed - maximum profile length 2500 mm</v>
      </c>
    </row>
    <row r="63" spans="1:46" s="157" customFormat="1" ht="14.85" hidden="1" customHeight="1">
      <c r="A63" s="140"/>
      <c r="B63" s="157" t="str">
        <v>Modena brown - maximum profile length 2500 mm</v>
      </c>
    </row>
    <row r="64" spans="1:46" s="157" customFormat="1" ht="14.85" hidden="1" customHeight="1">
      <c r="A64" s="140"/>
      <c r="B64" s="157" t="str">
        <v>Pisa (elox.) - maximum profile length 2500 mm</v>
      </c>
    </row>
    <row r="65" spans="1:15"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Top door</v>
      </c>
    </row>
    <row r="66" spans="1:15"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row>
    <row r="67" spans="1:15"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row>
    <row r="68" spans="1:15"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row>
    <row r="69" spans="1:15"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row>
    <row r="70" spans="1:15"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row>
    <row r="71" spans="1:15"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row>
    <row r="72" spans="1:15" s="157" customFormat="1" ht="14.85" hidden="1" customHeight="1">
      <c r="A72" s="140"/>
      <c r="B72" s="157" t="str">
        <v>Verona (elox.) - maximum profile length 2500 mm</v>
      </c>
    </row>
    <row r="73" spans="1:15" s="157" customFormat="1" ht="14.85" hidden="1" customHeight="1">
      <c r="A73" s="140"/>
      <c r="B73" s="157" t="str">
        <v>Verona brushed aluminium - maximum profile length 2500 mm</v>
      </c>
    </row>
    <row r="74" spans="1:15" s="157" customFormat="1" ht="14.85" hidden="1" customHeight="1">
      <c r="A74" s="140"/>
      <c r="B74" s="157" t="str">
        <v>Verona black matt - maximum profile length 2500 mm</v>
      </c>
    </row>
    <row r="75" spans="1:15" s="157" customFormat="1" ht="14.85" hidden="1" customHeight="1">
      <c r="A75" s="140"/>
      <c r="B75" s="157" t="str">
        <v>Verona black gloss - maximum profile length 2500 mm</v>
      </c>
    </row>
    <row r="76" spans="1:15" s="157" customFormat="1" ht="14.85" hidden="1" customHeight="1">
      <c r="A76" s="140"/>
      <c r="B76" s="157" t="str">
        <v>Verona brown - maximum profile length 2500 mm</v>
      </c>
    </row>
    <row r="77" spans="1:15" s="157" customFormat="1" ht="14.85" hidden="1" customHeight="1">
      <c r="A77" s="140"/>
      <c r="B77" s="157" t="str">
        <v>Verona champagne - maximum profile length 2500 mm</v>
      </c>
    </row>
    <row r="78" spans="1:15" s="157" customFormat="1" ht="14.85" hidden="1" customHeight="1">
      <c r="A78" s="140"/>
      <c r="B78" s="157" t="str">
        <v>Verona dark stainless steel brushed - maximum profile length 2500 mm</v>
      </c>
    </row>
    <row r="79" spans="1:15" s="157" customFormat="1" ht="14.85" hidden="1" customHeight="1">
      <c r="A79" s="140"/>
      <c r="B79" s="157" t="str">
        <v>Verona light stainless steel (Acier gratta) - maximum profile length 2500 mm</v>
      </c>
    </row>
    <row r="80" spans="1:15" s="157" customFormat="1" ht="14.85" hidden="1" customHeight="1">
      <c r="A80" s="140"/>
      <c r="B80" s="157" t="str">
        <v>Verona Ivory mat - maximum profile length 2150 mm</v>
      </c>
    </row>
    <row r="81" spans="1:38" s="157" customFormat="1" ht="14.85" hidden="1" customHeight="1">
      <c r="A81" s="140"/>
      <c r="B81" s="157" t="str">
        <v>Verona cashmere - maximum profile length 2150 mm</v>
      </c>
    </row>
    <row r="82" spans="1:38" s="157" customFormat="1" ht="14.85" hidden="1" customHeight="1">
      <c r="A82" s="140"/>
      <c r="B82" s="157" t="str">
        <v>Verona gold - maximum profile length 2150 mm</v>
      </c>
      <c r="P82" s="157" t="str" cm="1">
        <f t="array" ref="P82:P85">IF(OR(H8=kombinace_3!F18,H8=kombinace_3!F19,H8=kombinace_3!A60,H8=kombinace_3!A61,H8=kombinace_3!A62,H8=kombinace_3!A63),_2_strany,IF(H15=kombinace_3!AB8,_ramena_HL,_4_strany))</f>
        <v>Top</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IF(Ram_3!$H$9=kombinace_3!M11,2,0)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Frame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IF(kombinace_4!FC2=TRUE,AB4,"")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Select Frame Position</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maximum profile length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Hinges</v>
      </c>
      <c r="M36" s="157" t="str">
        <v>Lifts</v>
      </c>
      <c r="P36" s="157" t="str" cm="1">
        <f t="array" ref="P36:P38">IF(H13=kombinace_4!BQ11,kombinace_4!$DN$2,kombinace_4!$DN$2:$DN$4)</f>
        <v>Overlay</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VLOOKUP(AD42,kombinace_4!ER1:ES120,2,0)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Narrow ALU Frame</v>
      </c>
      <c r="T54" s="157" t="str">
        <f t="array" ref="T54:T56">kombinace_4!$EN$3:$EN$5</f>
        <v>Not treated</v>
      </c>
      <c r="U54" s="157">
        <v>1</v>
      </c>
      <c r="X54" s="157" t="str">
        <f t="array" ref="X54:X56">kombinace_4!$X$3:$X$5</f>
        <v>Transparent</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D55" s="157" t="e">
        <f ca="1"/>
        <v>#N/A</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c r="AD56" s="157" t="e">
        <f ca="1"/>
        <v>#N/A</v>
      </c>
    </row>
    <row r="57" spans="1:46" s="157" customFormat="1" ht="14.85" hidden="1" customHeight="1">
      <c r="A57" s="140"/>
      <c r="B57" s="157" t="str">
        <v>Imola white matt RAL 9003 - maximum profile length 2500 mm</v>
      </c>
      <c r="K57" s="157" t="str">
        <v xml:space="preserve">MDF 18 mm </v>
      </c>
      <c r="AD57" s="157" t="e">
        <f ca="1"/>
        <v>#N/A</v>
      </c>
    </row>
    <row r="58" spans="1:46" s="157" customFormat="1" ht="14.85" hidden="1" customHeight="1">
      <c r="A58" s="140"/>
      <c r="B58" s="157" t="str">
        <v>Imola gold - maximum profile length 2150 mm</v>
      </c>
      <c r="K58" s="157" t="str">
        <v>DTDL 18 mm</v>
      </c>
      <c r="AD58" s="157" t="e">
        <f ca="1"/>
        <v>#N/A</v>
      </c>
    </row>
    <row r="59" spans="1:46" s="157" customFormat="1" ht="14.85" hidden="1" customHeight="1">
      <c r="A59" s="140"/>
      <c r="B59" s="157" t="str">
        <v>Modena (elox.) - maximum profile length 2500 mm</v>
      </c>
      <c r="T59" s="157">
        <f>IFERROR(VLOOKUP($H$21,$T$54:$U$56,2,0),0)</f>
        <v>0</v>
      </c>
      <c r="AD59" s="157" t="e">
        <f ca="1"/>
        <v>#N/A</v>
      </c>
    </row>
    <row r="60" spans="1:46" s="157" customFormat="1" ht="14.85" hidden="1" customHeight="1">
      <c r="A60" s="140"/>
      <c r="B60" s="157" t="str">
        <v>Modena black matt - maximum profile length 2500 mm</v>
      </c>
      <c r="K60" s="157" t="b">
        <f>K56=K61</f>
        <v>0</v>
      </c>
      <c r="AD60" s="157" t="e">
        <f ca="1"/>
        <v>#N/A</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c r="AD61" s="157" t="e">
        <f ca="1"/>
        <v>#N/A</v>
      </c>
    </row>
    <row r="62" spans="1:46" s="157" customFormat="1" ht="14.85" hidden="1" customHeight="1">
      <c r="A62" s="140"/>
      <c r="B62" s="157" t="str">
        <v>Modena dark stainless steel brushed - maximum profile length 2500 mm</v>
      </c>
      <c r="AD62" s="157" t="e">
        <f ca="1"/>
        <v>#N/A</v>
      </c>
    </row>
    <row r="63" spans="1:46" s="157" customFormat="1" ht="14.85" hidden="1" customHeight="1">
      <c r="A63" s="140"/>
      <c r="B63" s="157" t="str">
        <v>Modena brown - maximum profile length 2500 mm</v>
      </c>
      <c r="AD63" s="157" t="e">
        <f ca="1"/>
        <v>#N/A</v>
      </c>
    </row>
    <row r="64" spans="1:46" s="157" customFormat="1" ht="14.85" hidden="1" customHeight="1">
      <c r="A64" s="140"/>
      <c r="B64" s="157" t="str">
        <v>Pisa (elox.) - maximum profile length 2500 mm</v>
      </c>
      <c r="AD64" s="157" t="e">
        <f ca="1"/>
        <v>#N/A</v>
      </c>
    </row>
    <row r="65" spans="1:30"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Top door</v>
      </c>
      <c r="AD65" s="157" t="e">
        <f ca="1"/>
        <v>#N/A</v>
      </c>
    </row>
    <row r="66" spans="1:30"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c r="AD66" s="157" t="e">
        <f ca="1"/>
        <v>#N/A</v>
      </c>
    </row>
    <row r="67" spans="1:30"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c r="AD67" s="157" t="e">
        <f ca="1"/>
        <v>#N/A</v>
      </c>
    </row>
    <row r="68" spans="1:30"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c r="AD69" s="157" t="e">
        <f ca="1"/>
        <v>#N/A</v>
      </c>
    </row>
    <row r="70" spans="1:30"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c r="AD70" s="157" t="e">
        <f ca="1"/>
        <v>#N/A</v>
      </c>
    </row>
    <row r="71" spans="1:30"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c r="AD71" s="157" t="e">
        <f ca="1"/>
        <v>#N/A</v>
      </c>
    </row>
    <row r="72" spans="1:30" s="157" customFormat="1" ht="14.85" hidden="1" customHeight="1">
      <c r="A72" s="140"/>
      <c r="B72" s="157" t="str">
        <v>Verona (elox.) - maximum profile length 2500 mm</v>
      </c>
      <c r="AD72" s="157" t="e">
        <f ca="1"/>
        <v>#N/A</v>
      </c>
    </row>
    <row r="73" spans="1:30" s="157" customFormat="1" ht="14.85" hidden="1" customHeight="1">
      <c r="A73" s="140"/>
      <c r="B73" s="157" t="str">
        <v>Verona brushed aluminium - maximum profile length 2500 mm</v>
      </c>
      <c r="AD73" s="157" t="e">
        <f ca="1"/>
        <v>#N/A</v>
      </c>
    </row>
    <row r="74" spans="1:30" s="157" customFormat="1" ht="14.85" hidden="1" customHeight="1">
      <c r="A74" s="140"/>
      <c r="B74" s="157" t="str">
        <v>Verona black matt - maximum profile length 2500 mm</v>
      </c>
      <c r="AD74" s="157" t="e">
        <f ca="1"/>
        <v>#N/A</v>
      </c>
    </row>
    <row r="75" spans="1:30" s="157" customFormat="1" ht="14.85" hidden="1" customHeight="1">
      <c r="A75" s="140"/>
      <c r="B75" s="157" t="str">
        <v>Verona black gloss - maximum profile length 2500 mm</v>
      </c>
      <c r="AD75" s="157" t="e">
        <f ca="1"/>
        <v>#N/A</v>
      </c>
    </row>
    <row r="76" spans="1:30" s="157" customFormat="1" ht="14.85" hidden="1" customHeight="1">
      <c r="A76" s="140"/>
      <c r="B76" s="157" t="str">
        <v>Verona brown - maximum profile length 2500 mm</v>
      </c>
      <c r="AD76" s="157" t="e">
        <f ca="1"/>
        <v>#N/A</v>
      </c>
    </row>
    <row r="77" spans="1:30" s="157" customFormat="1" ht="14.85" hidden="1" customHeight="1">
      <c r="A77" s="140"/>
      <c r="B77" s="157" t="str">
        <v>Verona champagne - maximum profile length 2500 mm</v>
      </c>
      <c r="AD77" s="157" t="e">
        <f ca="1"/>
        <v>#N/A</v>
      </c>
    </row>
    <row r="78" spans="1:30" s="157" customFormat="1" ht="14.85" hidden="1" customHeight="1">
      <c r="A78" s="140"/>
      <c r="B78" s="157" t="str">
        <v>Verona dark stainless steel brushed - maximum profile length 2500 mm</v>
      </c>
      <c r="AD78" s="157" t="e">
        <f ca="1"/>
        <v>#N/A</v>
      </c>
    </row>
    <row r="79" spans="1:30" s="157" customFormat="1" ht="14.85" hidden="1" customHeight="1">
      <c r="A79" s="140"/>
      <c r="B79" s="157" t="str">
        <v>Verona light stainless steel (Acier gratta) - maximum profile length 2500 mm</v>
      </c>
      <c r="AD79" s="157" t="e">
        <f ca="1"/>
        <v>#N/A</v>
      </c>
    </row>
    <row r="80" spans="1:30" s="157" customFormat="1" ht="14.85" hidden="1" customHeight="1">
      <c r="A80" s="140"/>
      <c r="B80" s="157" t="str">
        <v>Verona Ivory mat - maximum profile length 2150 mm</v>
      </c>
      <c r="AD80" s="157" t="e">
        <f ca="1"/>
        <v>#N/A</v>
      </c>
    </row>
    <row r="81" spans="1:38" s="157" customFormat="1" ht="14.85" hidden="1" customHeight="1">
      <c r="A81" s="140"/>
      <c r="B81" s="157" t="str">
        <v>Verona cashmere - maximum profile length 2150 mm</v>
      </c>
      <c r="AD81" s="157" t="e">
        <f ca="1"/>
        <v>#N/A</v>
      </c>
    </row>
    <row r="82" spans="1:38" s="157" customFormat="1" ht="14.85" hidden="1" customHeight="1">
      <c r="A82" s="140"/>
      <c r="B82" s="157" t="str">
        <v>Verona gold - maximum profile length 2150 mm</v>
      </c>
      <c r="P82" s="157" t="str" cm="1">
        <f t="array" ref="P82:P85">IF(OR(H8=kombinace_4!F18,H8=kombinace_4!F19,H8=kombinace_4!A60,H8=kombinace_4!A61,H8=kombinace_4!A62,H8=kombinace_4!A63),_2_strany,IF(H15=kombinace_4!AB8,_ramena_HL,_4_strany))</f>
        <v>Top</v>
      </c>
      <c r="AD82" s="157" t="e">
        <f ca="1"/>
        <v>#N/A</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IF(Ram_4!$H$9=kombinace_4!M11,2,0)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Frame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IF(kombinace_5!FC2=TRUE,AB4,"")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Select Frame Position</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maximum profile length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Hinges</v>
      </c>
      <c r="M36" s="157" t="str">
        <v>Lifts</v>
      </c>
      <c r="P36" s="157" t="str" cm="1">
        <f t="array" ref="P36:P38">IF(H13=kombinace_5!BQ11,kombinace_5!$DN$2,kombinace_5!$DN$2:$DN$4)</f>
        <v>Overlay</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VLOOKUP(AD42,kombinace_5!ER1:ES120,2,0)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Narrow ALU Frame</v>
      </c>
      <c r="T54" s="157" t="str">
        <f t="array" ref="T54:T56">kombinace_5!$EN$3:$EN$5</f>
        <v>Not treated</v>
      </c>
      <c r="U54" s="157">
        <v>1</v>
      </c>
      <c r="X54" s="157" t="str">
        <f t="array" ref="X54:X56">kombinace_5!$X$3:$X$5</f>
        <v>Transparent</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D55" s="157" t="e">
        <f ca="1"/>
        <v>#N/A</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c r="AD56" s="157" t="e">
        <f ca="1"/>
        <v>#N/A</v>
      </c>
    </row>
    <row r="57" spans="1:46" s="157" customFormat="1" ht="14.85" hidden="1" customHeight="1">
      <c r="A57" s="140"/>
      <c r="B57" s="157" t="str">
        <v>Imola white matt RAL 9003 - maximum profile length 2500 mm</v>
      </c>
      <c r="K57" s="157" t="str">
        <v xml:space="preserve">MDF 18 mm </v>
      </c>
      <c r="AD57" s="157" t="e">
        <f ca="1"/>
        <v>#N/A</v>
      </c>
    </row>
    <row r="58" spans="1:46" s="157" customFormat="1" ht="14.85" hidden="1" customHeight="1">
      <c r="A58" s="140"/>
      <c r="B58" s="157" t="str">
        <v>Imola gold - maximum profile length 2150 mm</v>
      </c>
      <c r="K58" s="157" t="str">
        <v>DTDL 18 mm</v>
      </c>
      <c r="AD58" s="157" t="e">
        <f ca="1"/>
        <v>#N/A</v>
      </c>
    </row>
    <row r="59" spans="1:46" s="157" customFormat="1" ht="14.85" hidden="1" customHeight="1">
      <c r="A59" s="140"/>
      <c r="B59" s="157" t="str">
        <v>Modena (elox.) - maximum profile length 2500 mm</v>
      </c>
      <c r="T59" s="157">
        <f>IFERROR(VLOOKUP($H$21,$T$54:$U$56,2,0),0)</f>
        <v>0</v>
      </c>
      <c r="AD59" s="157" t="e">
        <f ca="1"/>
        <v>#N/A</v>
      </c>
    </row>
    <row r="60" spans="1:46" s="157" customFormat="1" ht="14.85" hidden="1" customHeight="1">
      <c r="A60" s="140"/>
      <c r="B60" s="157" t="str">
        <v>Modena black matt - maximum profile length 2500 mm</v>
      </c>
      <c r="K60" s="157" t="b">
        <f>K56=K61</f>
        <v>0</v>
      </c>
      <c r="AD60" s="157" t="e">
        <f ca="1"/>
        <v>#N/A</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c r="AD61" s="157" t="e">
        <f ca="1"/>
        <v>#N/A</v>
      </c>
    </row>
    <row r="62" spans="1:46" s="157" customFormat="1" ht="14.85" hidden="1" customHeight="1">
      <c r="A62" s="140"/>
      <c r="B62" s="157" t="str">
        <v>Modena dark stainless steel brushed - maximum profile length 2500 mm</v>
      </c>
      <c r="AD62" s="157" t="e">
        <f ca="1"/>
        <v>#N/A</v>
      </c>
    </row>
    <row r="63" spans="1:46" s="157" customFormat="1" ht="14.85" hidden="1" customHeight="1">
      <c r="A63" s="140"/>
      <c r="B63" s="157" t="str">
        <v>Modena brown - maximum profile length 2500 mm</v>
      </c>
      <c r="AD63" s="157" t="e">
        <f ca="1"/>
        <v>#N/A</v>
      </c>
    </row>
    <row r="64" spans="1:46" s="157" customFormat="1" ht="14.85" hidden="1" customHeight="1">
      <c r="A64" s="140"/>
      <c r="B64" s="157" t="str">
        <v>Pisa (elox.) - maximum profile length 2500 mm</v>
      </c>
      <c r="AD64" s="157" t="e">
        <f ca="1"/>
        <v>#N/A</v>
      </c>
    </row>
    <row r="65" spans="1:30"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Top door</v>
      </c>
      <c r="AD65" s="157" t="e">
        <f ca="1"/>
        <v>#N/A</v>
      </c>
    </row>
    <row r="66" spans="1:30"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c r="AD66" s="157" t="e">
        <f ca="1"/>
        <v>#N/A</v>
      </c>
    </row>
    <row r="67" spans="1:30"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c r="AD67" s="157" t="e">
        <f ca="1"/>
        <v>#N/A</v>
      </c>
    </row>
    <row r="68" spans="1:30"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c r="AD69" s="157" t="e">
        <f ca="1"/>
        <v>#N/A</v>
      </c>
    </row>
    <row r="70" spans="1:30"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c r="AD70" s="157" t="e">
        <f ca="1"/>
        <v>#N/A</v>
      </c>
    </row>
    <row r="71" spans="1:30"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c r="AD71" s="157" t="e">
        <f ca="1"/>
        <v>#N/A</v>
      </c>
    </row>
    <row r="72" spans="1:30" s="157" customFormat="1" ht="14.85" hidden="1" customHeight="1">
      <c r="A72" s="140"/>
      <c r="B72" s="157" t="str">
        <v>Verona (elox.) - maximum profile length 2500 mm</v>
      </c>
      <c r="AD72" s="157" t="e">
        <f ca="1"/>
        <v>#N/A</v>
      </c>
    </row>
    <row r="73" spans="1:30" s="157" customFormat="1" ht="14.85" hidden="1" customHeight="1">
      <c r="A73" s="140"/>
      <c r="B73" s="157" t="str">
        <v>Verona brushed aluminium - maximum profile length 2500 mm</v>
      </c>
      <c r="AD73" s="157" t="e">
        <f ca="1"/>
        <v>#N/A</v>
      </c>
    </row>
    <row r="74" spans="1:30" s="157" customFormat="1" ht="14.85" hidden="1" customHeight="1">
      <c r="A74" s="140"/>
      <c r="B74" s="157" t="str">
        <v>Verona black matt - maximum profile length 2500 mm</v>
      </c>
      <c r="AD74" s="157" t="e">
        <f ca="1"/>
        <v>#N/A</v>
      </c>
    </row>
    <row r="75" spans="1:30" s="157" customFormat="1" ht="14.85" hidden="1" customHeight="1">
      <c r="A75" s="140"/>
      <c r="B75" s="157" t="str">
        <v>Verona black gloss - maximum profile length 2500 mm</v>
      </c>
      <c r="AD75" s="157" t="e">
        <f ca="1"/>
        <v>#N/A</v>
      </c>
    </row>
    <row r="76" spans="1:30" s="157" customFormat="1" ht="14.85" hidden="1" customHeight="1">
      <c r="A76" s="140"/>
      <c r="B76" s="157" t="str">
        <v>Verona brown - maximum profile length 2500 mm</v>
      </c>
      <c r="AD76" s="157" t="e">
        <f ca="1"/>
        <v>#N/A</v>
      </c>
    </row>
    <row r="77" spans="1:30" s="157" customFormat="1" ht="14.85" hidden="1" customHeight="1">
      <c r="A77" s="140"/>
      <c r="B77" s="157" t="str">
        <v>Verona champagne - maximum profile length 2500 mm</v>
      </c>
      <c r="AD77" s="157" t="e">
        <f ca="1"/>
        <v>#N/A</v>
      </c>
    </row>
    <row r="78" spans="1:30" s="157" customFormat="1" ht="14.85" hidden="1" customHeight="1">
      <c r="A78" s="140"/>
      <c r="B78" s="157" t="str">
        <v>Verona dark stainless steel brushed - maximum profile length 2500 mm</v>
      </c>
      <c r="AD78" s="157" t="e">
        <f ca="1"/>
        <v>#N/A</v>
      </c>
    </row>
    <row r="79" spans="1:30" s="157" customFormat="1" ht="14.85" hidden="1" customHeight="1">
      <c r="A79" s="140"/>
      <c r="B79" s="157" t="str">
        <v>Verona light stainless steel (Acier gratta) - maximum profile length 2500 mm</v>
      </c>
      <c r="AD79" s="157" t="e">
        <f ca="1"/>
        <v>#N/A</v>
      </c>
    </row>
    <row r="80" spans="1:30" s="157" customFormat="1" ht="14.85" hidden="1" customHeight="1">
      <c r="A80" s="140"/>
      <c r="B80" s="157" t="str">
        <v>Verona Ivory mat - maximum profile length 2150 mm</v>
      </c>
      <c r="AD80" s="157" t="e">
        <f ca="1"/>
        <v>#N/A</v>
      </c>
    </row>
    <row r="81" spans="1:38" s="157" customFormat="1" ht="14.85" hidden="1" customHeight="1">
      <c r="A81" s="140"/>
      <c r="B81" s="157" t="str">
        <v>Verona cashmere - maximum profile length 2150 mm</v>
      </c>
      <c r="AD81" s="157" t="e">
        <f ca="1"/>
        <v>#N/A</v>
      </c>
    </row>
    <row r="82" spans="1:38" s="157" customFormat="1" ht="14.85" hidden="1" customHeight="1">
      <c r="A82" s="140"/>
      <c r="B82" s="157" t="str">
        <v>Verona gold - maximum profile length 2150 mm</v>
      </c>
      <c r="P82" s="157" t="str" cm="1">
        <f t="array" ref="P82:P85">IF(OR(H8=kombinace_5!F18,H8=kombinace_5!F19,H8=kombinace_5!A60,H8=kombinace_5!A61,H8=kombinace_5!A62,H8=kombinace_5!A63),_2_strany,IF(H15=kombinace_5!AB8,_ramena_HL,_4_strany))</f>
        <v>Top</v>
      </c>
      <c r="AD82" s="157" t="e">
        <f ca="1"/>
        <v>#N/A</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IF(Ram_5!$H$9=kombinace_5!M11,2,0)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Frame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IF(kombinace_6!FC2=TRUE,AB4,"")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Select Frame Position</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maximum profile length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Hinges</v>
      </c>
      <c r="M36" s="157" t="str">
        <v>Lifts</v>
      </c>
      <c r="P36" s="157" t="str" cm="1">
        <f t="array" ref="P36:P38">IF(H13=kombinace_6!BQ11,kombinace_6!$DN$2,kombinace_6!$DN$2:$DN$4)</f>
        <v>Overlay</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VLOOKUP(AD42,kombinace_6!ER1:ES120,2,0)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Narrow ALU Frame</v>
      </c>
      <c r="T54" s="157" t="str">
        <f t="array" ref="T54:T56">kombinace_6!$EN$3:$EN$5</f>
        <v>Not treated</v>
      </c>
      <c r="U54" s="157">
        <v>1</v>
      </c>
      <c r="X54" s="157" t="str">
        <f t="array" ref="X54:X56">kombinace_6!$X$3:$X$5</f>
        <v>Transparent</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D55" s="157" t="e">
        <f ca="1"/>
        <v>#N/A</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c r="AD56" s="157" t="e">
        <f ca="1"/>
        <v>#N/A</v>
      </c>
    </row>
    <row r="57" spans="1:46" s="157" customFormat="1" ht="14.85" hidden="1" customHeight="1">
      <c r="A57" s="140"/>
      <c r="B57" s="157" t="str">
        <v>Imola white matt RAL 9003 - maximum profile length 2500 mm</v>
      </c>
      <c r="K57" s="157" t="str">
        <v xml:space="preserve">MDF 18 mm </v>
      </c>
      <c r="AD57" s="157" t="e">
        <f ca="1"/>
        <v>#N/A</v>
      </c>
    </row>
    <row r="58" spans="1:46" s="157" customFormat="1" ht="14.85" hidden="1" customHeight="1">
      <c r="A58" s="140"/>
      <c r="B58" s="157" t="str">
        <v>Imola gold - maximum profile length 2150 mm</v>
      </c>
      <c r="K58" s="157" t="str">
        <v>DTDL 18 mm</v>
      </c>
      <c r="AD58" s="157" t="e">
        <f ca="1"/>
        <v>#N/A</v>
      </c>
    </row>
    <row r="59" spans="1:46" s="157" customFormat="1" ht="14.85" hidden="1" customHeight="1">
      <c r="A59" s="140"/>
      <c r="B59" s="157" t="str">
        <v>Modena (elox.) - maximum profile length 2500 mm</v>
      </c>
      <c r="T59" s="157">
        <f>IFERROR(VLOOKUP($H$21,$T$54:$U$56,2,0),0)</f>
        <v>0</v>
      </c>
      <c r="AD59" s="157" t="e">
        <f ca="1"/>
        <v>#N/A</v>
      </c>
    </row>
    <row r="60" spans="1:46" s="157" customFormat="1" ht="14.85" hidden="1" customHeight="1">
      <c r="A60" s="140"/>
      <c r="B60" s="157" t="str">
        <v>Modena black matt - maximum profile length 2500 mm</v>
      </c>
      <c r="K60" s="157" t="b">
        <f>K56=K61</f>
        <v>0</v>
      </c>
      <c r="AD60" s="157" t="e">
        <f ca="1"/>
        <v>#N/A</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c r="AD61" s="157" t="e">
        <f ca="1"/>
        <v>#N/A</v>
      </c>
    </row>
    <row r="62" spans="1:46" s="157" customFormat="1" ht="14.85" hidden="1" customHeight="1">
      <c r="A62" s="140"/>
      <c r="B62" s="157" t="str">
        <v>Modena dark stainless steel brushed - maximum profile length 2500 mm</v>
      </c>
      <c r="AD62" s="157" t="e">
        <f ca="1"/>
        <v>#N/A</v>
      </c>
    </row>
    <row r="63" spans="1:46" s="157" customFormat="1" ht="14.85" hidden="1" customHeight="1">
      <c r="A63" s="140"/>
      <c r="B63" s="157" t="str">
        <v>Modena brown - maximum profile length 2500 mm</v>
      </c>
      <c r="AD63" s="157" t="e">
        <f ca="1"/>
        <v>#N/A</v>
      </c>
    </row>
    <row r="64" spans="1:46" s="157" customFormat="1" ht="14.85" hidden="1" customHeight="1">
      <c r="A64" s="140"/>
      <c r="B64" s="157" t="str">
        <v>Pisa (elox.) - maximum profile length 2500 mm</v>
      </c>
      <c r="AD64" s="157" t="e">
        <f ca="1"/>
        <v>#N/A</v>
      </c>
    </row>
    <row r="65" spans="1:30"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Top door</v>
      </c>
      <c r="AD65" s="157" t="e">
        <f ca="1"/>
        <v>#N/A</v>
      </c>
    </row>
    <row r="66" spans="1:30"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c r="AD66" s="157" t="e">
        <f ca="1"/>
        <v>#N/A</v>
      </c>
    </row>
    <row r="67" spans="1:30"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c r="AD67" s="157" t="e">
        <f ca="1"/>
        <v>#N/A</v>
      </c>
    </row>
    <row r="68" spans="1:30"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c r="AD69" s="157" t="e">
        <f ca="1"/>
        <v>#N/A</v>
      </c>
    </row>
    <row r="70" spans="1:30"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c r="AD70" s="157" t="e">
        <f ca="1"/>
        <v>#N/A</v>
      </c>
    </row>
    <row r="71" spans="1:30"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c r="AD71" s="157" t="e">
        <f ca="1"/>
        <v>#N/A</v>
      </c>
    </row>
    <row r="72" spans="1:30" s="157" customFormat="1" ht="14.85" hidden="1" customHeight="1">
      <c r="A72" s="140"/>
      <c r="B72" s="157" t="str">
        <v>Verona (elox.) - maximum profile length 2500 mm</v>
      </c>
      <c r="AD72" s="157" t="e">
        <f ca="1"/>
        <v>#N/A</v>
      </c>
    </row>
    <row r="73" spans="1:30" s="157" customFormat="1" ht="14.85" hidden="1" customHeight="1">
      <c r="A73" s="140"/>
      <c r="B73" s="157" t="str">
        <v>Verona brushed aluminium - maximum profile length 2500 mm</v>
      </c>
      <c r="AD73" s="157" t="e">
        <f ca="1"/>
        <v>#N/A</v>
      </c>
    </row>
    <row r="74" spans="1:30" s="157" customFormat="1" ht="14.85" hidden="1" customHeight="1">
      <c r="A74" s="140"/>
      <c r="B74" s="157" t="str">
        <v>Verona black matt - maximum profile length 2500 mm</v>
      </c>
      <c r="AD74" s="157" t="e">
        <f ca="1"/>
        <v>#N/A</v>
      </c>
    </row>
    <row r="75" spans="1:30" s="157" customFormat="1" ht="14.85" hidden="1" customHeight="1">
      <c r="A75" s="140"/>
      <c r="B75" s="157" t="str">
        <v>Verona black gloss - maximum profile length 2500 mm</v>
      </c>
      <c r="AD75" s="157" t="e">
        <f ca="1"/>
        <v>#N/A</v>
      </c>
    </row>
    <row r="76" spans="1:30" s="157" customFormat="1" ht="14.85" hidden="1" customHeight="1">
      <c r="A76" s="140"/>
      <c r="B76" s="157" t="str">
        <v>Verona brown - maximum profile length 2500 mm</v>
      </c>
      <c r="AD76" s="157" t="e">
        <f ca="1"/>
        <v>#N/A</v>
      </c>
    </row>
    <row r="77" spans="1:30" s="157" customFormat="1" ht="14.85" hidden="1" customHeight="1">
      <c r="A77" s="140"/>
      <c r="B77" s="157" t="str">
        <v>Verona champagne - maximum profile length 2500 mm</v>
      </c>
      <c r="AD77" s="157" t="e">
        <f ca="1"/>
        <v>#N/A</v>
      </c>
    </row>
    <row r="78" spans="1:30" s="157" customFormat="1" ht="14.85" hidden="1" customHeight="1">
      <c r="A78" s="140"/>
      <c r="B78" s="157" t="str">
        <v>Verona dark stainless steel brushed - maximum profile length 2500 mm</v>
      </c>
      <c r="AD78" s="157" t="e">
        <f ca="1"/>
        <v>#N/A</v>
      </c>
    </row>
    <row r="79" spans="1:30" s="157" customFormat="1" ht="14.85" hidden="1" customHeight="1">
      <c r="A79" s="140"/>
      <c r="B79" s="157" t="str">
        <v>Verona light stainless steel (Acier gratta) - maximum profile length 2500 mm</v>
      </c>
      <c r="AD79" s="157" t="e">
        <f ca="1"/>
        <v>#N/A</v>
      </c>
    </row>
    <row r="80" spans="1:30" s="157" customFormat="1" ht="14.85" hidden="1" customHeight="1">
      <c r="A80" s="140"/>
      <c r="B80" s="157" t="str">
        <v>Verona Ivory mat - maximum profile length 2150 mm</v>
      </c>
      <c r="AD80" s="157" t="e">
        <f ca="1"/>
        <v>#N/A</v>
      </c>
    </row>
    <row r="81" spans="1:38" s="157" customFormat="1" ht="14.85" hidden="1" customHeight="1">
      <c r="A81" s="140"/>
      <c r="B81" s="157" t="str">
        <v>Verona cashmere - maximum profile length 2150 mm</v>
      </c>
      <c r="AD81" s="157" t="e">
        <f ca="1"/>
        <v>#N/A</v>
      </c>
    </row>
    <row r="82" spans="1:38" s="157" customFormat="1" ht="14.85" hidden="1" customHeight="1">
      <c r="A82" s="140"/>
      <c r="B82" s="157" t="str">
        <v>Verona gold - maximum profile length 2150 mm</v>
      </c>
      <c r="P82" s="157" t="str" cm="1">
        <f t="array" ref="P82:P85">IF(OR(H8=kombinace_6!F18,H8=kombinace_6!F19,H8=kombinace_6!A60,H8=kombinace_6!A61,H8=kombinace_6!A62,H8=kombinace_6!A63),_2_strany,IF(H15=kombinace_6!AB8,_ramena_HL,_4_strany))</f>
        <v>Top</v>
      </c>
      <c r="AD82" s="157" t="e">
        <f ca="1"/>
        <v>#N/A</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Main page</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Always use the current version of the form available on our web pages.</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Please fill in your contact details and then click on the required box below.</v>
      </c>
    </row>
    <row r="11" spans="1:23">
      <c r="E11" s="509"/>
      <c r="F11" s="509"/>
      <c r="G11" s="509"/>
      <c r="H11" s="509"/>
      <c r="I11" s="509"/>
      <c r="J11" s="31"/>
      <c r="K11" s="510"/>
      <c r="L11" s="510"/>
      <c r="M11" s="510"/>
      <c r="N11" s="510"/>
      <c r="O11" s="510"/>
      <c r="P11" s="510"/>
    </row>
    <row r="12" spans="1:23"/>
    <row r="13" spans="1:23">
      <c r="E13" s="500" t="str">
        <f>'Translate&amp;Prices&amp;Logo'!$B$249</f>
        <v>Customer</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ID No:</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Phone:</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Contact E-mail:</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Discount on frames</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Back</v>
      </c>
      <c r="C34" s="499"/>
      <c r="E34" s="287"/>
      <c r="F34" s="287"/>
      <c r="G34" s="287"/>
      <c r="H34" s="287"/>
      <c r="I34" s="287"/>
      <c r="J34" s="287"/>
      <c r="K34" s="504" t="s">
        <v>3611</v>
      </c>
      <c r="L34" s="505"/>
      <c r="M34" s="287"/>
      <c r="N34" s="287"/>
      <c r="O34" s="287"/>
      <c r="P34" s="287"/>
      <c r="R34" s="507" t="str">
        <f>'Translate&amp;Prices&amp;Logo'!$B$566&amp;" "&amp;"&gt;"</f>
        <v>Next &gt;</v>
      </c>
      <c r="S34" s="508"/>
      <c r="U34" s="6">
        <f>IF('Translate&amp;Prices&amp;Logo'!D1=3,1,0)</f>
        <v>0</v>
      </c>
      <c r="V34" s="6">
        <f>IF(K23="",0,1)</f>
        <v>0</v>
      </c>
      <c r="W34" s="6">
        <f>IF(AND(U34=1,V34=1),1,0)</f>
        <v>0</v>
      </c>
      <c r="X34" s="6">
        <f>IF(OR(W34=1,W35=1),1,0)</f>
        <v>1</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Overlay</v>
      </c>
      <c r="DP2" t="str">
        <f>'Translate&amp;Prices&amp;Logo'!$B$551</f>
        <v>Hinges</v>
      </c>
      <c r="DQ2">
        <v>2</v>
      </c>
      <c r="ED2" t="s">
        <v>1649</v>
      </c>
      <c r="EE2" t="s">
        <v>3242</v>
      </c>
      <c r="ER2" t="s">
        <v>2157</v>
      </c>
      <c r="ES2" t="s">
        <v>2162</v>
      </c>
      <c r="EV2">
        <v>2</v>
      </c>
      <c r="EW2" t="s">
        <v>2179</v>
      </c>
      <c r="EY2" s="213" t="str">
        <f>'Translate&amp;Prices&amp;Logo'!B164</f>
        <v>mesh aluminum gold - field 10x6x1 mm</v>
      </c>
      <c r="FA2" s="34">
        <f>'Translate&amp;Prices&amp;Logo'!B644</f>
        <v>0</v>
      </c>
      <c r="FC2" t="b">
        <v>0</v>
      </c>
    </row>
    <row r="3" spans="1:159">
      <c r="A3" t="str">
        <f>'Translate&amp;Prices&amp;Logo'!$B$6</f>
        <v>BRW (elox.) - maximum profile length 2500 mm</v>
      </c>
      <c r="B3">
        <v>1</v>
      </c>
      <c r="C3" t="s">
        <v>651</v>
      </c>
      <c r="D3">
        <v>1</v>
      </c>
      <c r="F3" t="s">
        <v>950</v>
      </c>
      <c r="G3" t="s">
        <v>382</v>
      </c>
      <c r="H3" t="s">
        <v>951</v>
      </c>
      <c r="I3">
        <v>1</v>
      </c>
      <c r="J3">
        <v>2</v>
      </c>
      <c r="K3" t="s">
        <v>651</v>
      </c>
      <c r="M3" t="s">
        <v>952</v>
      </c>
      <c r="N3" t="s">
        <v>554</v>
      </c>
      <c r="X3" t="str">
        <f>'Translate&amp;Prices&amp;Logo'!$B$563</f>
        <v>Transparent</v>
      </c>
      <c r="Y3">
        <v>1</v>
      </c>
      <c r="AA3" t="s">
        <v>2083</v>
      </c>
      <c r="AB3" t="s">
        <v>1009</v>
      </c>
      <c r="AF3" t="s">
        <v>105</v>
      </c>
      <c r="AG3" t="s">
        <v>2377</v>
      </c>
      <c r="AY3" t="s">
        <v>984</v>
      </c>
      <c r="BK3" t="s">
        <v>105</v>
      </c>
      <c r="BU3" t="e">
        <f>VLOOKUP(BU2,BV2:BW9,2,0)</f>
        <v>#N/A</v>
      </c>
      <c r="BV3" t="s">
        <v>1015</v>
      </c>
      <c r="BW3" t="s">
        <v>1012</v>
      </c>
      <c r="BY3" t="str">
        <f>'Translate&amp;Prices&amp;Logo'!$B$230</f>
        <v>Left</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Lifts</v>
      </c>
      <c r="DQ3">
        <v>3</v>
      </c>
      <c r="ED3" t="s">
        <v>1650</v>
      </c>
      <c r="EE3" t="s">
        <v>3245</v>
      </c>
      <c r="EJ3">
        <v>1</v>
      </c>
      <c r="EK3" t="s">
        <v>113</v>
      </c>
      <c r="EN3" t="str">
        <f>'Translate&amp;Prices&amp;Logo'!B638</f>
        <v>Not treated</v>
      </c>
      <c r="EO3">
        <v>1</v>
      </c>
      <c r="ER3" t="s">
        <v>2155</v>
      </c>
      <c r="ES3" t="s">
        <v>2163</v>
      </c>
      <c r="EV3">
        <v>3</v>
      </c>
      <c r="EW3" t="s">
        <v>2180</v>
      </c>
      <c r="EY3" s="213" t="str">
        <f>'Translate&amp;Prices&amp;Logo'!B165</f>
        <v>mesh steel black matt - field 8x4x1 mm</v>
      </c>
      <c r="FA3" s="34">
        <f>'Translate&amp;Prices&amp;Logo'!B645</f>
        <v>0</v>
      </c>
    </row>
    <row r="4" spans="1:159">
      <c r="A4" t="str">
        <f>'Translate&amp;Prices&amp;Logo'!$B$8</f>
        <v>BRW white matt RAL 9003 - maximum profile length 2500 mm</v>
      </c>
      <c r="B4">
        <v>1</v>
      </c>
      <c r="C4" t="s">
        <v>651</v>
      </c>
      <c r="D4">
        <v>0</v>
      </c>
      <c r="G4" t="s">
        <v>951</v>
      </c>
      <c r="H4" t="s">
        <v>382</v>
      </c>
      <c r="I4">
        <v>0</v>
      </c>
      <c r="J4">
        <v>2</v>
      </c>
      <c r="K4" t="s">
        <v>651</v>
      </c>
      <c r="M4" t="s">
        <v>955</v>
      </c>
      <c r="N4" t="s">
        <v>856</v>
      </c>
      <c r="X4" t="str">
        <f>'Translate&amp;Prices&amp;Logo'!$B$564</f>
        <v>White</v>
      </c>
      <c r="Y4">
        <v>2</v>
      </c>
      <c r="AA4" t="s">
        <v>954</v>
      </c>
      <c r="AB4" t="s">
        <v>2374</v>
      </c>
      <c r="AC4">
        <v>1</v>
      </c>
      <c r="AD4">
        <v>1</v>
      </c>
      <c r="AF4" t="s">
        <v>106</v>
      </c>
      <c r="AG4" t="s">
        <v>2377</v>
      </c>
      <c r="AY4" t="s">
        <v>984</v>
      </c>
      <c r="AZ4" t="s">
        <v>1017</v>
      </c>
      <c r="BK4" t="s">
        <v>106</v>
      </c>
      <c r="BV4" t="s">
        <v>1016</v>
      </c>
      <c r="BW4" t="s">
        <v>1011</v>
      </c>
      <c r="BY4" t="str">
        <f>'Translate&amp;Prices&amp;Logo'!$B$229</f>
        <v>Right</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Harded (delivery is 4 weeks)</v>
      </c>
      <c r="EO4">
        <v>2</v>
      </c>
      <c r="ER4" t="s">
        <v>2449</v>
      </c>
      <c r="ES4" t="s">
        <v>2450</v>
      </c>
      <c r="EV4">
        <v>4</v>
      </c>
      <c r="EW4" t="s">
        <v>2181</v>
      </c>
      <c r="EY4" s="213" t="str">
        <f>'Translate&amp;Prices&amp;Logo'!B166</f>
        <v>mesh steel white - field 8x4x1 mm</v>
      </c>
      <c r="FA4" s="34">
        <f>'Translate&amp;Prices&amp;Logo'!B646</f>
        <v>0</v>
      </c>
    </row>
    <row r="5" spans="1:159">
      <c r="A5" t="str">
        <f>'Translate&amp;Prices&amp;Logo'!$B$9</f>
        <v>BRW white gloss RAL 9003 - maximum profile length 2500 mm</v>
      </c>
      <c r="B5">
        <v>1</v>
      </c>
      <c r="C5" t="s">
        <v>651</v>
      </c>
      <c r="D5">
        <v>0</v>
      </c>
      <c r="F5" t="s">
        <v>957</v>
      </c>
      <c r="G5" t="s">
        <v>381</v>
      </c>
      <c r="H5" t="s">
        <v>951</v>
      </c>
      <c r="I5">
        <v>1</v>
      </c>
      <c r="J5">
        <v>2</v>
      </c>
      <c r="K5" t="s">
        <v>651</v>
      </c>
      <c r="M5" t="s">
        <v>958</v>
      </c>
      <c r="N5" t="s">
        <v>556</v>
      </c>
      <c r="X5" t="str">
        <f>'Translate&amp;Prices&amp;Logo'!$B$565</f>
        <v>Black</v>
      </c>
      <c r="Y5">
        <v>3</v>
      </c>
      <c r="AA5" t="s">
        <v>954</v>
      </c>
      <c r="AB5" t="s">
        <v>2378</v>
      </c>
      <c r="AC5">
        <v>0</v>
      </c>
      <c r="AD5">
        <v>0</v>
      </c>
      <c r="AF5" t="s">
        <v>105</v>
      </c>
      <c r="AG5" t="s">
        <v>2379</v>
      </c>
      <c r="AY5" t="s">
        <v>984</v>
      </c>
      <c r="AZ5" t="s">
        <v>1018</v>
      </c>
      <c r="BK5" t="s">
        <v>961</v>
      </c>
      <c r="BV5" t="s">
        <v>2501</v>
      </c>
      <c r="BW5" t="s">
        <v>2502</v>
      </c>
      <c r="BY5" t="str">
        <f>'Translate&amp;Prices&amp;Logo'!$B$227</f>
        <v>Top</v>
      </c>
      <c r="BZ5">
        <v>3</v>
      </c>
      <c r="CA5">
        <v>76</v>
      </c>
      <c r="CD5" t="s">
        <v>964</v>
      </c>
      <c r="CE5">
        <v>1</v>
      </c>
      <c r="CF5">
        <v>0</v>
      </c>
      <c r="ED5" t="s">
        <v>1652</v>
      </c>
      <c r="EE5" t="s">
        <v>3248</v>
      </c>
      <c r="EJ5">
        <v>3</v>
      </c>
      <c r="EK5" t="s">
        <v>74</v>
      </c>
      <c r="EN5" t="str">
        <f>'Translate&amp;Prices&amp;Logo'!B640</f>
        <v>Foil</v>
      </c>
      <c r="EO5">
        <v>3</v>
      </c>
      <c r="ER5" t="s">
        <v>2451</v>
      </c>
      <c r="ES5" t="s">
        <v>2452</v>
      </c>
      <c r="EV5">
        <v>5</v>
      </c>
      <c r="EW5" t="s">
        <v>2179</v>
      </c>
      <c r="EY5" s="213" t="str">
        <f>'Translate&amp;Prices&amp;Logo'!B167</f>
        <v>mesh anodized - field 10x6x1 mm</v>
      </c>
      <c r="FA5" s="34">
        <f>'Translate&amp;Prices&amp;Logo'!B647</f>
        <v>0</v>
      </c>
    </row>
    <row r="6" spans="1:159">
      <c r="A6" t="str">
        <f>'Translate&amp;Prices&amp;Logo'!$B$11</f>
        <v>BRW brushed - maximum profile length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Bottom</v>
      </c>
      <c r="BZ6">
        <v>4</v>
      </c>
      <c r="CA6">
        <v>96</v>
      </c>
      <c r="CD6" t="s">
        <v>967</v>
      </c>
      <c r="CE6">
        <v>1</v>
      </c>
      <c r="CF6">
        <v>1</v>
      </c>
      <c r="ED6" t="s">
        <v>1653</v>
      </c>
      <c r="EE6" t="s">
        <v>3250</v>
      </c>
      <c r="EJ6">
        <v>4</v>
      </c>
      <c r="EK6" t="s">
        <v>75</v>
      </c>
      <c r="ER6" t="s">
        <v>2453</v>
      </c>
      <c r="ES6" t="s">
        <v>2454</v>
      </c>
      <c r="EV6">
        <v>6</v>
      </c>
      <c r="EW6" t="s">
        <v>2179</v>
      </c>
      <c r="FA6" s="34">
        <f>'Translate&amp;Prices&amp;Logo'!B648</f>
        <v>0</v>
      </c>
    </row>
    <row r="7" spans="1:159">
      <c r="A7" t="str">
        <f>'Translate&amp;Prices&amp;Logo'!$B$12</f>
        <v>BRW black matt - maximum profile length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f>'Translate&amp;Prices&amp;Logo'!B649</f>
        <v>0</v>
      </c>
    </row>
    <row r="8" spans="1:159">
      <c r="A8" t="str">
        <f>'Translate&amp;Prices&amp;Logo'!$B$14</f>
        <v>BRW black brushed - maximum profile length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f>'Translate&amp;Prices&amp;Logo'!B650</f>
        <v>0</v>
      </c>
    </row>
    <row r="9" spans="1:159">
      <c r="A9" t="str">
        <f>'Translate&amp;Prices&amp;Logo'!$B$15</f>
        <v>BRW Light Stainless Steel (INOX ACIER gratta) - maximum profile length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f>'Translate&amp;Prices&amp;Logo'!B651</f>
        <v>0</v>
      </c>
    </row>
    <row r="10" spans="1:159">
      <c r="A10" t="str">
        <f>'Translate&amp;Prices&amp;Logo'!$B$7</f>
        <v>BRW anthracite RAL 7021 - maximum profile length 2500 mm</v>
      </c>
      <c r="B10">
        <v>1</v>
      </c>
      <c r="C10" t="s">
        <v>651</v>
      </c>
      <c r="D10">
        <v>0</v>
      </c>
      <c r="M10" t="str">
        <f>'Translate&amp;Prices&amp;Logo'!B558</f>
        <v>Horizontal (delivery is 4 weeks)</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maximum profile length 2500 mm</v>
      </c>
      <c r="B11">
        <v>1</v>
      </c>
      <c r="C11" t="s">
        <v>651</v>
      </c>
      <c r="D11">
        <v>0</v>
      </c>
      <c r="M11" t="str">
        <f>'Translate&amp;Prices&amp;Logo'!B559</f>
        <v>Vertical (delivery is 4 weeks)</v>
      </c>
      <c r="N11">
        <f>IF(Ram_6!$H$9=kombinace_6!M11,2,0)</f>
        <v>0</v>
      </c>
      <c r="AC11">
        <v>0</v>
      </c>
      <c r="AD11">
        <v>0</v>
      </c>
      <c r="AF11" t="s">
        <v>105</v>
      </c>
      <c r="AG11" t="s">
        <v>969</v>
      </c>
      <c r="AY11" t="s">
        <v>954</v>
      </c>
      <c r="AZ11" t="s">
        <v>1023</v>
      </c>
      <c r="BQ11" s="215" t="s">
        <v>2267</v>
      </c>
      <c r="BY11">
        <v>5</v>
      </c>
      <c r="CA11">
        <v>240</v>
      </c>
      <c r="CD11" t="str">
        <f>CONCATENATE('Translate&amp;Prices&amp;Logo'!B664,"_K12")</f>
        <v>bottom_K12</v>
      </c>
      <c r="CE11">
        <v>1</v>
      </c>
      <c r="CF11">
        <v>0</v>
      </c>
      <c r="DN11" t="s">
        <v>69</v>
      </c>
      <c r="DO11" s="2" t="s">
        <v>69</v>
      </c>
      <c r="ED11" t="s">
        <v>1658</v>
      </c>
      <c r="EE11" t="s">
        <v>1752</v>
      </c>
      <c r="ER11" t="s">
        <v>2159</v>
      </c>
      <c r="ES11" t="s">
        <v>2165</v>
      </c>
    </row>
    <row r="12" spans="1:159">
      <c r="A12" t="str">
        <f>'Translate&amp;Prices&amp;Logo'!$B$70</f>
        <v>BRW champagne light - maximum profile length 2500 mm</v>
      </c>
      <c r="B12">
        <v>1</v>
      </c>
      <c r="C12" t="s">
        <v>651</v>
      </c>
      <c r="D12">
        <v>0</v>
      </c>
      <c r="M12" t="str">
        <f>'Translate&amp;Prices&amp;Logo'!B560</f>
        <v>Horizontal and vertical (delivery is 4 weeks)</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brown - maximum profile length 2500 mm</v>
      </c>
      <c r="B13">
        <v>1</v>
      </c>
      <c r="C13" t="s">
        <v>651</v>
      </c>
      <c r="D13">
        <v>0</v>
      </c>
      <c r="AC13">
        <v>0</v>
      </c>
      <c r="AD13">
        <v>0</v>
      </c>
      <c r="AF13" t="s">
        <v>105</v>
      </c>
      <c r="AG13" t="s">
        <v>972</v>
      </c>
      <c r="AY13" t="s">
        <v>954</v>
      </c>
      <c r="AZ13" t="s">
        <v>1025</v>
      </c>
      <c r="BQ13" s="216"/>
      <c r="BR13" t="s">
        <v>966</v>
      </c>
      <c r="BY13" t="str">
        <f>'Translate&amp;Prices&amp;Logo'!$B$558</f>
        <v>Horizontal (delivery is 4 weeks)</v>
      </c>
      <c r="BZ13">
        <v>1</v>
      </c>
      <c r="CA13">
        <v>288</v>
      </c>
      <c r="CD13" t="str">
        <f>CONCATENATE('Translate&amp;Prices&amp;Logo'!B664,"_kraby")</f>
        <v>bottom_kraby</v>
      </c>
      <c r="CE13">
        <v>1</v>
      </c>
      <c r="CF13">
        <v>0</v>
      </c>
      <c r="DN13" t="s">
        <v>220</v>
      </c>
      <c r="DO13" s="2" t="s">
        <v>68</v>
      </c>
      <c r="ED13" t="s">
        <v>2511</v>
      </c>
      <c r="EE13" t="s">
        <v>2510</v>
      </c>
      <c r="ER13" t="s">
        <v>2161</v>
      </c>
      <c r="ES13" t="s">
        <v>2161</v>
      </c>
    </row>
    <row r="14" spans="1:159">
      <c r="A14" t="str">
        <f>'Translate&amp;Prices&amp;Logo'!$B$16</f>
        <v>BRW dark stainless steel (INOX LIJA)- maximum profile length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Vertical (delivery is 4 weeks)</v>
      </c>
      <c r="BZ14">
        <v>2</v>
      </c>
      <c r="CA14">
        <v>320</v>
      </c>
      <c r="CD14" t="s">
        <v>980</v>
      </c>
      <c r="CE14">
        <v>1</v>
      </c>
      <c r="CF14">
        <v>0</v>
      </c>
      <c r="DN14" t="s">
        <v>221</v>
      </c>
      <c r="DO14" s="2" t="s">
        <v>69</v>
      </c>
      <c r="ED14" t="s">
        <v>1660</v>
      </c>
      <c r="EE14" t="s">
        <v>1754</v>
      </c>
      <c r="ER14" t="s">
        <v>2162</v>
      </c>
      <c r="ES14" t="s">
        <v>2162</v>
      </c>
    </row>
    <row r="15" spans="1:159">
      <c r="A15" t="str">
        <f>'Translate&amp;Prices&amp;Logo'!$B$64</f>
        <v>BRW cashmere - maximum profile length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Horizontal and vertical (delivery is 4 weeks)</v>
      </c>
      <c r="BZ15">
        <v>3</v>
      </c>
      <c r="CA15">
        <v>384</v>
      </c>
      <c r="CD15" t="s">
        <v>981</v>
      </c>
      <c r="CE15">
        <v>1</v>
      </c>
      <c r="CF15">
        <v>0</v>
      </c>
      <c r="DN15" t="s">
        <v>1145</v>
      </c>
      <c r="DO15" s="2" t="s">
        <v>70</v>
      </c>
      <c r="ED15" t="s">
        <v>1661</v>
      </c>
      <c r="EE15" t="s">
        <v>1755</v>
      </c>
      <c r="ER15" t="s">
        <v>2163</v>
      </c>
      <c r="ES15" t="s">
        <v>2163</v>
      </c>
    </row>
    <row r="16" spans="1:159">
      <c r="A16" t="str">
        <f>'Translate&amp;Prices&amp;Logo'!$B$13</f>
        <v>BRW gold - maximum profile length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StrongLift_upper</v>
      </c>
      <c r="CE16">
        <v>1</v>
      </c>
      <c r="CF16">
        <v>1</v>
      </c>
      <c r="DN16" t="s">
        <v>284</v>
      </c>
      <c r="DO16" s="2" t="s">
        <v>68</v>
      </c>
      <c r="ED16" t="s">
        <v>1662</v>
      </c>
      <c r="EE16" t="s">
        <v>1756</v>
      </c>
      <c r="ER16" t="s">
        <v>2450</v>
      </c>
      <c r="ES16" t="s">
        <v>2450</v>
      </c>
      <c r="FC16" s="251"/>
    </row>
    <row r="17" spans="1:159">
      <c r="A17" t="str">
        <f>'Translate&amp;Prices&amp;Logo'!$B$55</f>
        <v>BRW arany csiszolt - maximum profile length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StrongLift_bottom</v>
      </c>
      <c r="CE17">
        <v>1</v>
      </c>
      <c r="CF17">
        <v>1</v>
      </c>
      <c r="DN17" t="s">
        <v>1244</v>
      </c>
      <c r="DO17" s="2" t="s">
        <v>69</v>
      </c>
      <c r="ED17" t="s">
        <v>1663</v>
      </c>
      <c r="EE17" t="s">
        <v>1757</v>
      </c>
      <c r="ER17" t="s">
        <v>2452</v>
      </c>
      <c r="ES17" t="s">
        <v>2452</v>
      </c>
      <c r="FC17" s="251"/>
    </row>
    <row r="18" spans="1:159">
      <c r="A18" t="str">
        <f>'Translate&amp;Prices&amp;Logo'!$B$17</f>
        <v>Corleone (elox.) - maximum profile length 1500 mm</v>
      </c>
      <c r="B18">
        <v>2</v>
      </c>
      <c r="C18" t="s">
        <v>651</v>
      </c>
      <c r="D18">
        <v>0</v>
      </c>
      <c r="E18">
        <v>3</v>
      </c>
      <c r="F18" t="str">
        <f>'Translate&amp;Prices&amp;Logo'!$B$80</f>
        <v>Rocca elox (Left and Right) + Varna elox (Top and Bottom)</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black matt - maximum profile length 1500 mm</v>
      </c>
      <c r="B19">
        <v>2</v>
      </c>
      <c r="C19" t="s">
        <v>651</v>
      </c>
      <c r="D19">
        <v>0</v>
      </c>
      <c r="F19" t="str">
        <f>'Translate&amp;Prices&amp;Logo'!$B$81</f>
        <v>Rocca black (Left and right) + Varna black (Top and bottom)</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black matt - maximum profile length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anthracite RAL 7021 matt - maximum profile length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maximum profile length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black matt - maximum profile length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white matt RAL 9003 - maximum profile length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gold - maximum profile length 2150 mm</v>
      </c>
      <c r="B25">
        <v>2</v>
      </c>
      <c r="C25" t="s">
        <v>998</v>
      </c>
      <c r="D25">
        <v>0</v>
      </c>
      <c r="AF25" t="s">
        <v>105</v>
      </c>
      <c r="AG25" t="s">
        <v>980</v>
      </c>
      <c r="ED25" t="s">
        <v>1671</v>
      </c>
      <c r="EE25" t="s">
        <v>3259</v>
      </c>
      <c r="ER25" t="s">
        <v>2171</v>
      </c>
      <c r="ES25" t="s">
        <v>2171</v>
      </c>
    </row>
    <row r="26" spans="1:159">
      <c r="A26" t="str">
        <f>'Translate&amp;Prices&amp;Logo'!$B$22</f>
        <v>Modena (elox.) - maximum profile length 2500 mm</v>
      </c>
      <c r="B26">
        <v>2</v>
      </c>
      <c r="C26" t="s">
        <v>651</v>
      </c>
      <c r="D26">
        <v>0</v>
      </c>
      <c r="AF26" t="s">
        <v>106</v>
      </c>
      <c r="AG26" t="s">
        <v>980</v>
      </c>
      <c r="ED26" t="s">
        <v>1672</v>
      </c>
      <c r="EE26" t="s">
        <v>3260</v>
      </c>
      <c r="ER26" t="s">
        <v>2172</v>
      </c>
      <c r="ES26" t="s">
        <v>2172</v>
      </c>
    </row>
    <row r="27" spans="1:159">
      <c r="A27" t="str">
        <f>'Translate&amp;Prices&amp;Logo'!$B$23</f>
        <v>Modena black matt - maximum profile length 2500 mm</v>
      </c>
      <c r="B27">
        <v>2</v>
      </c>
      <c r="C27" t="s">
        <v>651</v>
      </c>
      <c r="D27">
        <v>0</v>
      </c>
      <c r="AF27" t="s">
        <v>105</v>
      </c>
      <c r="AG27" t="s">
        <v>981</v>
      </c>
      <c r="ED27" t="s">
        <v>1673</v>
      </c>
      <c r="EE27" t="s">
        <v>3262</v>
      </c>
      <c r="ER27" t="s">
        <v>2173</v>
      </c>
      <c r="ES27" t="s">
        <v>2173</v>
      </c>
    </row>
    <row r="28" spans="1:159">
      <c r="A28" t="str">
        <f>'Translate&amp;Prices&amp;Logo'!$B$25</f>
        <v>black black brushed - maximum profile length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dark stainless steel brushed - maximum profile length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brown - maximum profile length 2500 mm</v>
      </c>
      <c r="B30">
        <v>2</v>
      </c>
      <c r="C30" t="s">
        <v>651</v>
      </c>
      <c r="D30">
        <v>0</v>
      </c>
      <c r="AA30" t="s">
        <v>976</v>
      </c>
      <c r="AB30" t="str">
        <f>CONCATENATE('Translate&amp;Prices&amp;Logo'!B664,"_K12")</f>
        <v>bottom_K12</v>
      </c>
      <c r="AC30">
        <v>1</v>
      </c>
      <c r="AD30">
        <v>0</v>
      </c>
      <c r="AF30" t="s">
        <v>106</v>
      </c>
      <c r="AG30" t="s">
        <v>982</v>
      </c>
      <c r="ED30" t="s">
        <v>1676</v>
      </c>
      <c r="EE30" t="s">
        <v>3265</v>
      </c>
      <c r="ER30" t="s">
        <v>2463</v>
      </c>
      <c r="ES30" t="s">
        <v>2463</v>
      </c>
    </row>
    <row r="31" spans="1:159">
      <c r="A31" t="str">
        <f>'Translate&amp;Prices&amp;Logo'!$B$29</f>
        <v>Pisa (elox.) - maximum profile length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white matt RAL 9003 - maximum profile length 2500 mm</v>
      </c>
      <c r="B32">
        <v>2</v>
      </c>
      <c r="C32" t="s">
        <v>998</v>
      </c>
      <c r="D32">
        <v>0</v>
      </c>
      <c r="AA32" t="s">
        <v>976</v>
      </c>
      <c r="AB32" t="str">
        <f>CONCATENATE('Translate&amp;Prices&amp;Logo'!B664,"_kraby")</f>
        <v>bottom_kraby</v>
      </c>
      <c r="AC32">
        <v>1</v>
      </c>
      <c r="AD32">
        <v>0</v>
      </c>
      <c r="AF32" t="s">
        <v>106</v>
      </c>
      <c r="AG32" t="s">
        <v>983</v>
      </c>
      <c r="BY32" t="str">
        <f>'Translate&amp;Prices&amp;Logo'!$B$230</f>
        <v>Left</v>
      </c>
      <c r="BZ32" t="str">
        <f>'Translate&amp;Prices&amp;Logo'!$B$589</f>
        <v>(bottom)</v>
      </c>
      <c r="CA32" t="str">
        <f>'Translate&amp;Prices&amp;Logo'!$B$591</f>
        <v>(upper)</v>
      </c>
      <c r="CC32" t="str">
        <f>'Translate&amp;Prices&amp;Logo'!$O$589</f>
        <v>(dolnej)</v>
      </c>
      <c r="CD32" t="str">
        <f>'Translate&amp;Prices&amp;Logo'!$O$591</f>
        <v>(górnej)</v>
      </c>
      <c r="ED32" t="s">
        <v>1678</v>
      </c>
      <c r="EE32" t="s">
        <v>3267</v>
      </c>
      <c r="ER32" t="s">
        <v>2465</v>
      </c>
      <c r="ES32" t="s">
        <v>2465</v>
      </c>
    </row>
    <row r="33" spans="1:149">
      <c r="A33" t="str">
        <f>'Translate&amp;Prices&amp;Logo'!$B$53</f>
        <v>Pisa white gloss RAL 9003 - maximum profile length 2500 mm</v>
      </c>
      <c r="B33">
        <v>2</v>
      </c>
      <c r="C33" t="s">
        <v>998</v>
      </c>
      <c r="D33">
        <v>0</v>
      </c>
      <c r="AA33" t="s">
        <v>976</v>
      </c>
      <c r="AB33" t="s">
        <v>980</v>
      </c>
      <c r="AC33">
        <v>1</v>
      </c>
      <c r="AD33">
        <v>0</v>
      </c>
      <c r="AF33" t="s">
        <v>105</v>
      </c>
      <c r="AG33" t="s">
        <v>985</v>
      </c>
      <c r="BY33" t="str">
        <f>'Translate&amp;Prices&amp;Logo'!$B$229</f>
        <v>Right</v>
      </c>
      <c r="BZ33" t="str">
        <f>'Translate&amp;Prices&amp;Logo'!$B$589</f>
        <v>(bottom)</v>
      </c>
      <c r="CA33" t="str">
        <f>'Translate&amp;Prices&amp;Logo'!$B$591</f>
        <v>(upper)</v>
      </c>
      <c r="CC33" t="str">
        <f>'Translate&amp;Prices&amp;Logo'!$O$589</f>
        <v>(dolnej)</v>
      </c>
      <c r="CD33" t="str">
        <f>'Translate&amp;Prices&amp;Logo'!$O$591</f>
        <v>(górnej)</v>
      </c>
      <c r="ED33" t="s">
        <v>1679</v>
      </c>
      <c r="EE33" t="s">
        <v>3268</v>
      </c>
      <c r="ER33" t="s">
        <v>2466</v>
      </c>
      <c r="ES33" t="s">
        <v>2466</v>
      </c>
    </row>
    <row r="34" spans="1:149">
      <c r="A34" t="str">
        <f>'Translate&amp;Prices&amp;Logo'!$B$30</f>
        <v>Pisa black matt - maximum profile length 2500 mm</v>
      </c>
      <c r="B34">
        <v>2</v>
      </c>
      <c r="C34" t="s">
        <v>998</v>
      </c>
      <c r="D34">
        <v>0</v>
      </c>
      <c r="AA34" t="s">
        <v>976</v>
      </c>
      <c r="AB34" t="s">
        <v>981</v>
      </c>
      <c r="AC34">
        <v>1</v>
      </c>
      <c r="AD34">
        <v>0</v>
      </c>
      <c r="AF34" t="s">
        <v>106</v>
      </c>
      <c r="AG34" t="s">
        <v>985</v>
      </c>
      <c r="BY34" t="str">
        <f>'Translate&amp;Prices&amp;Logo'!$B$227</f>
        <v>Top</v>
      </c>
      <c r="BZ34" t="str">
        <f>'Translate&amp;Prices&amp;Logo'!$B$590</f>
        <v>(left)</v>
      </c>
      <c r="CA34" t="str">
        <f>'Translate&amp;Prices&amp;Logo'!$B$592</f>
        <v>(right)</v>
      </c>
      <c r="CC34" t="str">
        <f>'Translate&amp;Prices&amp;Logo'!$O$590</f>
        <v>(lewej)</v>
      </c>
      <c r="CD34" t="str">
        <f>'Translate&amp;Prices&amp;Logo'!$O$592</f>
        <v>(prawej)</v>
      </c>
      <c r="ED34" t="s">
        <v>1680</v>
      </c>
      <c r="EE34" t="s">
        <v>3269</v>
      </c>
      <c r="ER34" t="s">
        <v>2174</v>
      </c>
      <c r="ES34" t="s">
        <v>2174</v>
      </c>
    </row>
    <row r="35" spans="1:149">
      <c r="A35" t="str">
        <f>'Translate&amp;Prices&amp;Logo'!$B$58</f>
        <v>Pisa gold - maximum profile length 2150 mm</v>
      </c>
      <c r="B35">
        <v>2</v>
      </c>
      <c r="C35" t="s">
        <v>998</v>
      </c>
      <c r="D35">
        <v>0</v>
      </c>
      <c r="BY35" t="str">
        <f>'Translate&amp;Prices&amp;Logo'!$B$228</f>
        <v>Bottom</v>
      </c>
      <c r="BZ35" t="str">
        <f>'Translate&amp;Prices&amp;Logo'!$B$590</f>
        <v>(left)</v>
      </c>
      <c r="CA35" t="str">
        <f>'Translate&amp;Prices&amp;Logo'!$B$592</f>
        <v>(right)</v>
      </c>
      <c r="CC35" t="str">
        <f>'Translate&amp;Prices&amp;Logo'!$O$590</f>
        <v>(lewej)</v>
      </c>
      <c r="CD35" t="str">
        <f>'Translate&amp;Prices&amp;Logo'!$O$592</f>
        <v>(prawej)</v>
      </c>
      <c r="ED35" t="s">
        <v>1681</v>
      </c>
      <c r="EE35" t="s">
        <v>1775</v>
      </c>
      <c r="ER35" t="s">
        <v>2175</v>
      </c>
      <c r="ES35" t="s">
        <v>2175</v>
      </c>
    </row>
    <row r="36" spans="1:149">
      <c r="A36" t="str">
        <f>'Translate&amp;Prices&amp;Logo'!$B$50</f>
        <v>Rocca (elox.) - maximum profile length 2150 mm</v>
      </c>
      <c r="B36">
        <v>1</v>
      </c>
      <c r="C36" t="s">
        <v>651</v>
      </c>
      <c r="D36">
        <v>0</v>
      </c>
      <c r="ED36" t="s">
        <v>1620</v>
      </c>
      <c r="EE36" t="s">
        <v>1776</v>
      </c>
      <c r="ER36" t="s">
        <v>2176</v>
      </c>
      <c r="ES36" t="s">
        <v>2176</v>
      </c>
    </row>
    <row r="37" spans="1:149">
      <c r="A37" t="str">
        <f>'Translate&amp;Prices&amp;Logo'!$B$42</f>
        <v>Rocca black matt - maximum profile length 2150 mm</v>
      </c>
      <c r="B37">
        <v>1</v>
      </c>
      <c r="C37" t="s">
        <v>651</v>
      </c>
      <c r="D37">
        <v>0</v>
      </c>
      <c r="BY37" t="s">
        <v>1332</v>
      </c>
      <c r="ED37" t="s">
        <v>1621</v>
      </c>
      <c r="EE37" t="s">
        <v>1777</v>
      </c>
      <c r="ER37" t="s">
        <v>2219</v>
      </c>
      <c r="ES37" t="s">
        <v>2213</v>
      </c>
    </row>
    <row r="38" spans="1:149">
      <c r="A38" t="str">
        <f>'Translate&amp;Prices&amp;Logo'!$B$63</f>
        <v>Treviso black matt - maximum profile length 2750 mm</v>
      </c>
      <c r="B38">
        <v>1</v>
      </c>
      <c r="C38" t="s">
        <v>651</v>
      </c>
      <c r="D38">
        <v>0</v>
      </c>
      <c r="ED38" t="s">
        <v>1622</v>
      </c>
      <c r="EE38" t="s">
        <v>1778</v>
      </c>
      <c r="ER38" t="s">
        <v>2220</v>
      </c>
      <c r="ES38" t="s">
        <v>2214</v>
      </c>
    </row>
    <row r="39" spans="1:149">
      <c r="A39" t="str">
        <f>'Translate&amp;Prices&amp;Logo'!$B$34</f>
        <v>Verona (elox.) - maximum profile length 2500 mm</v>
      </c>
      <c r="B39">
        <v>1</v>
      </c>
      <c r="C39" t="s">
        <v>651</v>
      </c>
      <c r="D39">
        <v>0</v>
      </c>
      <c r="AA39" t="s">
        <v>2504</v>
      </c>
      <c r="AB39" t="s">
        <v>2502</v>
      </c>
      <c r="ED39" t="s">
        <v>1623</v>
      </c>
      <c r="EE39" t="s">
        <v>1779</v>
      </c>
      <c r="ER39" t="s">
        <v>2221</v>
      </c>
      <c r="ES39" t="s">
        <v>2215</v>
      </c>
    </row>
    <row r="40" spans="1:149">
      <c r="A40" t="str">
        <f>'Translate&amp;Prices&amp;Logo'!$B$35</f>
        <v>Verona brushed aluminium - maximum profile length 2500 mm</v>
      </c>
      <c r="B40">
        <v>1</v>
      </c>
      <c r="C40" t="s">
        <v>651</v>
      </c>
      <c r="D40">
        <v>0</v>
      </c>
      <c r="AA40" t="s">
        <v>2504</v>
      </c>
      <c r="AB40" t="str">
        <f>'Translate&amp;Prices&amp;Logo'!B659</f>
        <v>StrongLift_upper</v>
      </c>
      <c r="AC40">
        <v>1</v>
      </c>
      <c r="AD40">
        <v>0</v>
      </c>
      <c r="ED40" t="s">
        <v>1624</v>
      </c>
      <c r="EE40" t="s">
        <v>1780</v>
      </c>
      <c r="ER40" t="s">
        <v>2222</v>
      </c>
      <c r="ES40" t="s">
        <v>2216</v>
      </c>
    </row>
    <row r="41" spans="1:149">
      <c r="A41" t="str">
        <f>'Translate&amp;Prices&amp;Logo'!$B$37</f>
        <v>Verona black matt - maximum profile length 2500 mm</v>
      </c>
      <c r="B41">
        <v>1</v>
      </c>
      <c r="C41" t="s">
        <v>651</v>
      </c>
      <c r="D41">
        <v>0</v>
      </c>
      <c r="AB41" t="str">
        <f>'Translate&amp;Prices&amp;Logo'!B660</f>
        <v>StrongLift_bottom</v>
      </c>
      <c r="AC41">
        <v>1</v>
      </c>
      <c r="AD41">
        <v>0</v>
      </c>
      <c r="ED41" t="s">
        <v>1625</v>
      </c>
      <c r="EE41" t="s">
        <v>1781</v>
      </c>
      <c r="ER41" t="s">
        <v>2223</v>
      </c>
      <c r="ES41" t="s">
        <v>2217</v>
      </c>
    </row>
    <row r="42" spans="1:149">
      <c r="A42" t="str">
        <f>'Translate&amp;Prices&amp;Logo'!$B$36</f>
        <v>Verona black gloss - maximum profile length 2500 mm</v>
      </c>
      <c r="B42">
        <v>1</v>
      </c>
      <c r="C42" t="s">
        <v>651</v>
      </c>
      <c r="D42">
        <v>0</v>
      </c>
      <c r="AA42" t="s">
        <v>2086</v>
      </c>
      <c r="AB42" t="s">
        <v>1010</v>
      </c>
      <c r="ED42" t="s">
        <v>1626</v>
      </c>
      <c r="EE42" t="s">
        <v>1782</v>
      </c>
      <c r="ER42" t="s">
        <v>2224</v>
      </c>
      <c r="ES42" t="s">
        <v>2218</v>
      </c>
    </row>
    <row r="43" spans="1:149">
      <c r="A43" t="str">
        <f>'Translate&amp;Prices&amp;Logo'!$B$38</f>
        <v>Verona brown - maximum profile length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maximum profile length 2500 mm</v>
      </c>
      <c r="B44">
        <v>1</v>
      </c>
      <c r="C44" t="s">
        <v>651</v>
      </c>
      <c r="D44">
        <v>0</v>
      </c>
      <c r="AA44" t="s">
        <v>984</v>
      </c>
      <c r="AB44" t="s">
        <v>985</v>
      </c>
      <c r="AC44">
        <v>1</v>
      </c>
      <c r="AD44">
        <v>0</v>
      </c>
      <c r="ED44" t="s">
        <v>1628</v>
      </c>
      <c r="EE44" t="s">
        <v>1784</v>
      </c>
      <c r="ER44" t="s">
        <v>2476</v>
      </c>
      <c r="ES44" t="s">
        <v>2468</v>
      </c>
    </row>
    <row r="45" spans="1:149">
      <c r="A45" t="str">
        <f>'Translate&amp;Prices&amp;Logo'!$B$40</f>
        <v>Verona dark stainless steel brushed - maximum profile length 2500 mm</v>
      </c>
      <c r="B45">
        <v>1</v>
      </c>
      <c r="C45" t="s">
        <v>651</v>
      </c>
      <c r="D45">
        <v>0</v>
      </c>
      <c r="AB45" t="s">
        <v>1111</v>
      </c>
      <c r="AC45">
        <v>0</v>
      </c>
      <c r="AD45">
        <v>0</v>
      </c>
      <c r="ED45" t="s">
        <v>1629</v>
      </c>
      <c r="EE45" t="s">
        <v>1785</v>
      </c>
      <c r="ER45" t="s">
        <v>2243</v>
      </c>
      <c r="ES45" t="s">
        <v>2237</v>
      </c>
    </row>
    <row r="46" spans="1:149">
      <c r="A46" t="str">
        <f>'Translate&amp;Prices&amp;Logo'!$B$41</f>
        <v>Verona light stainless steel (Acier gratta) - maximum profile length 2500 mm</v>
      </c>
      <c r="B46">
        <v>1</v>
      </c>
      <c r="C46" t="s">
        <v>651</v>
      </c>
      <c r="D46">
        <v>0</v>
      </c>
      <c r="ED46" t="s">
        <v>1630</v>
      </c>
      <c r="EE46" t="s">
        <v>1786</v>
      </c>
      <c r="ER46" t="s">
        <v>2244</v>
      </c>
      <c r="ES46" t="s">
        <v>2238</v>
      </c>
    </row>
    <row r="47" spans="1:149">
      <c r="A47" t="str">
        <f>'Translate&amp;Prices&amp;Logo'!$B$62</f>
        <v>Verona Ivory mat - maximum profile length 2150 mm</v>
      </c>
      <c r="B47">
        <v>1</v>
      </c>
      <c r="C47" t="s">
        <v>651</v>
      </c>
      <c r="D47">
        <v>0</v>
      </c>
      <c r="ED47" t="s">
        <v>1631</v>
      </c>
      <c r="EE47" t="s">
        <v>1787</v>
      </c>
      <c r="ER47" t="s">
        <v>2245</v>
      </c>
      <c r="ES47" t="s">
        <v>2239</v>
      </c>
    </row>
    <row r="48" spans="1:149">
      <c r="A48" t="str">
        <f>'Translate&amp;Prices&amp;Logo'!$B$65</f>
        <v>Verona cashmere - maximum profile length 2150 mm</v>
      </c>
      <c r="B48">
        <v>1</v>
      </c>
      <c r="C48" t="s">
        <v>651</v>
      </c>
      <c r="D48">
        <v>0</v>
      </c>
      <c r="ED48" t="s">
        <v>1632</v>
      </c>
      <c r="EE48" t="s">
        <v>1788</v>
      </c>
      <c r="ER48" t="s">
        <v>2246</v>
      </c>
      <c r="ES48" t="s">
        <v>2240</v>
      </c>
    </row>
    <row r="49" spans="1:149">
      <c r="A49" t="str">
        <f>'Translate&amp;Prices&amp;Logo'!$B$24</f>
        <v>Verona gold - maximum profile length 2150 mm</v>
      </c>
      <c r="B49">
        <v>1</v>
      </c>
      <c r="C49" t="s">
        <v>651</v>
      </c>
      <c r="D49">
        <v>0</v>
      </c>
      <c r="AA49" t="s">
        <v>2087</v>
      </c>
      <c r="AB49" t="s">
        <v>2089</v>
      </c>
      <c r="ED49" t="s">
        <v>1633</v>
      </c>
      <c r="EE49" t="s">
        <v>1789</v>
      </c>
      <c r="ER49" t="s">
        <v>2247</v>
      </c>
      <c r="ES49" t="s">
        <v>2241</v>
      </c>
    </row>
    <row r="50" spans="1:149">
      <c r="A50" t="str">
        <f>'Translate&amp;Prices&amp;Logo'!$B$56</f>
        <v>Verona gold brushed - maximum profile length 2150 mm</v>
      </c>
      <c r="B50">
        <v>1</v>
      </c>
      <c r="C50" t="s">
        <v>651</v>
      </c>
      <c r="D50">
        <v>0</v>
      </c>
      <c r="AB50" t="s">
        <v>2378</v>
      </c>
      <c r="AC50">
        <v>0</v>
      </c>
      <c r="AD50">
        <v>0</v>
      </c>
      <c r="ED50" t="s">
        <v>1634</v>
      </c>
      <c r="EE50" t="s">
        <v>1790</v>
      </c>
      <c r="ER50" t="s">
        <v>2248</v>
      </c>
      <c r="ES50" t="s">
        <v>2242</v>
      </c>
    </row>
    <row r="51" spans="1:149">
      <c r="A51" t="str">
        <f>'Translate&amp;Prices&amp;Logo'!$B$43</f>
        <v>Vivaro (elox.) - maximum profile length 2500 mm</v>
      </c>
      <c r="B51">
        <v>2</v>
      </c>
      <c r="C51" t="s">
        <v>651</v>
      </c>
      <c r="D51">
        <v>1</v>
      </c>
      <c r="AB51" t="s">
        <v>2380</v>
      </c>
      <c r="AC51">
        <v>0</v>
      </c>
      <c r="AD51">
        <v>0</v>
      </c>
      <c r="ED51" t="s">
        <v>1635</v>
      </c>
      <c r="EE51" t="s">
        <v>1791</v>
      </c>
      <c r="ER51" t="s">
        <v>2477</v>
      </c>
      <c r="ES51" t="s">
        <v>2469</v>
      </c>
    </row>
    <row r="52" spans="1:149">
      <c r="A52" t="str">
        <f>'Translate&amp;Prices&amp;Logo'!$B$44</f>
        <v>Vivaro black matt - maximum profile length 2500 mm</v>
      </c>
      <c r="B52">
        <v>2</v>
      </c>
      <c r="C52" t="s">
        <v>651</v>
      </c>
      <c r="D52">
        <v>1</v>
      </c>
      <c r="AB52" t="s">
        <v>2375</v>
      </c>
      <c r="AC52">
        <v>0</v>
      </c>
      <c r="AD52">
        <v>0</v>
      </c>
      <c r="ED52" t="s">
        <v>1636</v>
      </c>
      <c r="EE52" t="s">
        <v>1792</v>
      </c>
      <c r="ER52" t="s">
        <v>2478</v>
      </c>
      <c r="ES52" t="s">
        <v>2470</v>
      </c>
    </row>
    <row r="53" spans="1:149">
      <c r="A53" t="str">
        <f>'Translate&amp;Prices&amp;Logo'!$B$46</f>
        <v>Vivaro dark stainless steel - maximum profile length 2500 mm</v>
      </c>
      <c r="B53">
        <v>2</v>
      </c>
      <c r="C53" t="s">
        <v>651</v>
      </c>
      <c r="D53">
        <v>0</v>
      </c>
      <c r="AB53" t="s">
        <v>2376</v>
      </c>
      <c r="AC53">
        <v>0</v>
      </c>
      <c r="AD53">
        <v>0</v>
      </c>
      <c r="ED53" t="s">
        <v>1637</v>
      </c>
      <c r="EE53" t="s">
        <v>1793</v>
      </c>
      <c r="ER53" t="s">
        <v>2479</v>
      </c>
      <c r="ES53" t="s">
        <v>2471</v>
      </c>
    </row>
    <row r="54" spans="1:149">
      <c r="A54" t="str">
        <f>'Translate&amp;Prices&amp;Logo'!$B$47</f>
        <v>Vivaro white matt RAL 9003 - maximum profile length 2500 mm</v>
      </c>
      <c r="B54">
        <v>2</v>
      </c>
      <c r="C54" t="s">
        <v>651</v>
      </c>
      <c r="D54">
        <v>0</v>
      </c>
      <c r="ED54" t="s">
        <v>1638</v>
      </c>
      <c r="EE54" t="s">
        <v>1794</v>
      </c>
      <c r="ER54" t="s">
        <v>2480</v>
      </c>
      <c r="ES54" t="s">
        <v>2472</v>
      </c>
    </row>
    <row r="55" spans="1:149">
      <c r="A55" t="str">
        <f>'Translate&amp;Prices&amp;Logo'!$B$48</f>
        <v>Vivaro white gloss RAL 9003 - maximum profile length 2500 mm</v>
      </c>
      <c r="B55">
        <v>2</v>
      </c>
      <c r="C55" t="s">
        <v>651</v>
      </c>
      <c r="D55">
        <v>0</v>
      </c>
      <c r="ED55" t="s">
        <v>1639</v>
      </c>
      <c r="EE55" t="s">
        <v>1795</v>
      </c>
      <c r="ER55" t="s">
        <v>2481</v>
      </c>
      <c r="ES55" t="s">
        <v>2473</v>
      </c>
    </row>
    <row r="56" spans="1:149">
      <c r="A56" t="str">
        <f>'Translate&amp;Prices&amp;Logo'!$B$31</f>
        <v>Vivaro gold - maximum profile length 2150 mm</v>
      </c>
      <c r="B56">
        <v>2</v>
      </c>
      <c r="C56" t="s">
        <v>651</v>
      </c>
      <c r="D56">
        <v>1</v>
      </c>
      <c r="ED56" t="s">
        <v>1640</v>
      </c>
      <c r="EE56" t="s">
        <v>1796</v>
      </c>
      <c r="ER56" t="s">
        <v>2482</v>
      </c>
      <c r="ES56" t="s">
        <v>2474</v>
      </c>
    </row>
    <row r="57" spans="1:149">
      <c r="A57" t="str">
        <f>'Translate&amp;Prices&amp;Logo'!$B$57</f>
        <v>Vivaro gold brushed - maximum profile length 2150 mm</v>
      </c>
      <c r="B57">
        <v>2</v>
      </c>
      <c r="C57" t="s">
        <v>651</v>
      </c>
      <c r="D57">
        <v>0</v>
      </c>
      <c r="ED57" t="s">
        <v>1641</v>
      </c>
      <c r="EE57" t="s">
        <v>1797</v>
      </c>
      <c r="ER57" t="s">
        <v>2225</v>
      </c>
      <c r="ES57" t="s">
        <v>2213</v>
      </c>
    </row>
    <row r="58" spans="1:149">
      <c r="A58" t="str">
        <f>'Translate&amp;Prices&amp;Logo'!$B$80</f>
        <v>Rocca elox (Left and Right) + Varna elox (Top and Bottom)</v>
      </c>
      <c r="B58">
        <v>3</v>
      </c>
      <c r="C58" t="s">
        <v>651</v>
      </c>
      <c r="D58">
        <v>0</v>
      </c>
      <c r="ED58" t="s">
        <v>1642</v>
      </c>
      <c r="EE58" t="s">
        <v>1798</v>
      </c>
      <c r="ER58" t="s">
        <v>2226</v>
      </c>
      <c r="ES58" t="s">
        <v>2214</v>
      </c>
    </row>
    <row r="59" spans="1:149">
      <c r="A59" t="str">
        <f>'Translate&amp;Prices&amp;Logo'!$B$81</f>
        <v>Rocca black (Left and right) + Varna black (Top and bottom)</v>
      </c>
      <c r="B59">
        <v>3</v>
      </c>
      <c r="C59" t="s">
        <v>651</v>
      </c>
      <c r="D59">
        <v>0</v>
      </c>
      <c r="AA59" t="s">
        <v>2088</v>
      </c>
      <c r="AB59" t="s">
        <v>2090</v>
      </c>
      <c r="ED59" t="s">
        <v>1643</v>
      </c>
      <c r="EE59" t="s">
        <v>1799</v>
      </c>
      <c r="ER59" t="s">
        <v>2227</v>
      </c>
      <c r="ES59" t="s">
        <v>2215</v>
      </c>
    </row>
    <row r="60" spans="1:149">
      <c r="A60" t="str">
        <f>'Translate&amp;Prices&amp;Logo'!$B$71</f>
        <v>ROMA black matt  - maximum profile length 2696 mm</v>
      </c>
      <c r="B60">
        <v>1</v>
      </c>
      <c r="C60" t="s">
        <v>651</v>
      </c>
      <c r="D60">
        <v>0</v>
      </c>
      <c r="AB60" t="s">
        <v>968</v>
      </c>
      <c r="AC60">
        <v>0</v>
      </c>
      <c r="AD60">
        <v>0</v>
      </c>
      <c r="ED60" t="s">
        <v>1644</v>
      </c>
      <c r="EE60" t="s">
        <v>1800</v>
      </c>
      <c r="ER60" t="s">
        <v>2228</v>
      </c>
      <c r="ES60" t="s">
        <v>2216</v>
      </c>
    </row>
    <row r="61" spans="1:149">
      <c r="A61" t="str">
        <f>'Translate&amp;Prices&amp;Logo'!$B$72</f>
        <v>ROMA champagne matt  - maximum profile length 2696 mm</v>
      </c>
      <c r="B61">
        <v>1</v>
      </c>
      <c r="C61" t="s">
        <v>651</v>
      </c>
      <c r="D61">
        <v>0</v>
      </c>
      <c r="AB61" t="s">
        <v>970</v>
      </c>
      <c r="AC61">
        <v>0</v>
      </c>
      <c r="AD61">
        <v>0</v>
      </c>
      <c r="ED61" t="s">
        <v>1645</v>
      </c>
      <c r="EE61" t="s">
        <v>1801</v>
      </c>
      <c r="ER61" t="s">
        <v>2229</v>
      </c>
      <c r="ES61" t="s">
        <v>2217</v>
      </c>
    </row>
    <row r="62" spans="1:149">
      <c r="A62" t="str">
        <f>'Translate&amp;Prices&amp;Logo'!$B$73</f>
        <v>ROMA GRIP black matt  - maximum profile length 2696 mm</v>
      </c>
      <c r="B62">
        <v>1</v>
      </c>
      <c r="C62" t="s">
        <v>651</v>
      </c>
      <c r="D62">
        <v>0</v>
      </c>
      <c r="AB62" t="s">
        <v>971</v>
      </c>
      <c r="AC62">
        <v>0</v>
      </c>
      <c r="AD62">
        <v>0</v>
      </c>
      <c r="ED62" t="s">
        <v>1646</v>
      </c>
      <c r="EE62" t="s">
        <v>1802</v>
      </c>
      <c r="ER62" t="s">
        <v>2230</v>
      </c>
      <c r="ES62" t="s">
        <v>2218</v>
      </c>
    </row>
    <row r="63" spans="1:149">
      <c r="A63" t="str">
        <f>'Translate&amp;Prices&amp;Logo'!$B$74</f>
        <v>ROMA GRIP champagne matt  - maximum profile length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maximum profile length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Sliding frames</v>
      </c>
      <c r="Q2" s="713"/>
      <c r="R2" s="713"/>
      <c r="S2" s="713"/>
      <c r="T2" s="713"/>
      <c r="U2" s="713"/>
      <c r="V2" s="713"/>
      <c r="W2" s="713"/>
      <c r="X2" s="713"/>
      <c r="Y2" s="713"/>
      <c r="Z2" s="713"/>
      <c r="AA2" s="713"/>
      <c r="AB2" s="713"/>
      <c r="AC2" s="15"/>
      <c r="AD2" s="16"/>
      <c r="AE2" s="17"/>
      <c r="AF2" s="15"/>
      <c r="AG2" s="15"/>
      <c r="AH2" s="15"/>
      <c r="AI2" s="265"/>
      <c r="AJ2" s="709" t="str">
        <f>'Translate&amp;Prices&amp;Logo'!$B$540</f>
        <v>Main page</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The standard door overlaps are shown here</v>
      </c>
      <c r="T7" s="711"/>
      <c r="U7" s="711"/>
      <c r="V7" s="711"/>
      <c r="W7" s="711"/>
      <c r="X7" s="711"/>
      <c r="Y7" s="711"/>
      <c r="Z7" s="711"/>
      <c r="AA7" s="711"/>
      <c r="AB7" s="711"/>
      <c r="AC7" s="711"/>
    </row>
    <row r="8" spans="1:74" ht="7.35" customHeight="1"/>
    <row r="9" spans="1:74" ht="15">
      <c r="C9" s="681" t="str">
        <f>'Translate&amp;Prices&amp;Logo'!$B$249</f>
        <v>Customer</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ID No:</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Phone:</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Discount on frames</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Supply including specified fittings</v>
      </c>
      <c r="T22" s="712"/>
      <c r="U22" s="712"/>
      <c r="V22" s="712"/>
      <c r="W22" s="712"/>
      <c r="X22" s="712"/>
      <c r="Y22" s="712"/>
      <c r="Z22" s="712"/>
      <c r="AA22" s="712"/>
      <c r="AB22" s="712"/>
      <c r="AC22" s="706" t="str">
        <f>'Translate&amp;Prices&amp;Logo'!$B$326</f>
        <v>Quantity (pieces)</v>
      </c>
      <c r="AD22" s="706"/>
      <c r="AE22" s="706"/>
      <c r="AF22" s="31"/>
      <c r="AG22" s="706" t="str">
        <f>'Translate&amp;Prices&amp;Logo'!$B$325</f>
        <v>Other Request (pieces)</v>
      </c>
      <c r="AH22" s="706"/>
      <c r="AI22" s="706"/>
      <c r="AJ22" s="706"/>
      <c r="AL22" s="706" t="str">
        <f>'Translate&amp;Prices&amp;Logo'!$B$692</f>
        <v>Price</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Frame</v>
      </c>
      <c r="F24" s="688"/>
      <c r="G24" s="689"/>
      <c r="H24" s="29"/>
      <c r="I24" s="687" t="str">
        <f>"2."&amp;" "&amp;'Translate&amp;Prices&amp;Logo'!$B$169</f>
        <v>2. Frame</v>
      </c>
      <c r="J24" s="688"/>
      <c r="K24" s="689"/>
      <c r="L24" s="29"/>
      <c r="M24" s="687" t="str">
        <f>"3."&amp;" "&amp;'Translate&amp;Prices&amp;Logo'!$B$169</f>
        <v>3. Frame</v>
      </c>
      <c r="N24" s="688"/>
      <c r="O24" s="689"/>
      <c r="R24" s="95"/>
      <c r="S24" s="690" t="str">
        <f>'Translate&amp;Prices&amp;Logo'!$B$317</f>
        <v>H27AL narrow frame fitting set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v>
      </c>
      <c r="AP24" s="299">
        <f>IF('Translate&amp;Prices&amp;Logo'!$D$1=1,AQ24,
IF(OR('Translate&amp;Prices&amp;Logo'!$D$1=2,'Translate&amp;Prices&amp;Logo'!$D$1=5,'Translate&amp;Prices&amp;Logo'!$D$1=6),AR24,
IF('Translate&amp;Prices&amp;Logo'!$D$1=3,AS24,AT24)))</f>
        <v>17.30472</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Height</v>
      </c>
      <c r="C26" s="694"/>
      <c r="D26" s="293"/>
      <c r="E26" s="697"/>
      <c r="F26" s="682"/>
      <c r="G26" s="698"/>
      <c r="H26" s="291"/>
      <c r="I26" s="697"/>
      <c r="J26" s="682"/>
      <c r="K26" s="698"/>
      <c r="L26" s="291"/>
      <c r="M26" s="697"/>
      <c r="N26" s="682"/>
      <c r="O26" s="698"/>
      <c r="R26" s="95"/>
      <c r="S26" s="690" t="str">
        <f>'Translate&amp;Prices&amp;Logo'!$B$318</f>
        <v>H37AL wide frame fitting set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v>
      </c>
      <c r="AP26" s="299">
        <f>IF('Translate&amp;Prices&amp;Logo'!$D$1=1,AQ26,
IF(OR('Translate&amp;Prices&amp;Logo'!$D$1=2,'Translate&amp;Prices&amp;Logo'!$D$1=5,'Translate&amp;Prices&amp;Logo'!$D$1=6),AR26,
IF('Translate&amp;Prices&amp;Logo'!$D$1=3,AS26,AT26)))</f>
        <v>18.137250000000002</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Width</v>
      </c>
      <c r="C28" s="694"/>
      <c r="D28" s="293"/>
      <c r="E28" s="697"/>
      <c r="F28" s="682"/>
      <c r="G28" s="698"/>
      <c r="H28" s="291"/>
      <c r="I28" s="697"/>
      <c r="J28" s="682"/>
      <c r="K28" s="698"/>
      <c r="L28" s="291"/>
      <c r="M28" s="697"/>
      <c r="N28" s="682"/>
      <c r="O28" s="698"/>
      <c r="S28" s="690" t="str">
        <f>'Translate&amp;Prices&amp;Logo'!$B$321</f>
        <v>Top guide profile length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v>
      </c>
      <c r="AP28" s="299">
        <f>IF('Translate&amp;Prices&amp;Logo'!$D$1=1,AQ28,
IF(OR('Translate&amp;Prices&amp;Logo'!$D$1=2,'Translate&amp;Prices&amp;Logo'!$D$1=5,'Translate&amp;Prices&amp;Logo'!$D$1=6),AR28,
IF('Translate&amp;Prices&amp;Logo'!$D$1=3,AS28,AT28)))</f>
        <v>17.28059</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Quantity</v>
      </c>
      <c r="C30" s="694"/>
      <c r="D30" s="293"/>
      <c r="E30" s="697"/>
      <c r="F30" s="682"/>
      <c r="G30" s="698"/>
      <c r="H30" s="291"/>
      <c r="I30" s="697"/>
      <c r="J30" s="682"/>
      <c r="K30" s="698"/>
      <c r="L30" s="291"/>
      <c r="M30" s="697"/>
      <c r="N30" s="682"/>
      <c r="O30" s="698"/>
      <c r="S30" s="690" t="str">
        <f>'Translate&amp;Prices&amp;Logo'!$B$322</f>
        <v>Bottom guide profile, length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v>
      </c>
      <c r="AP30" s="299">
        <f>IF('Translate&amp;Prices&amp;Logo'!$D$1=1,AQ30,
IF(OR('Translate&amp;Prices&amp;Logo'!$D$1=2,'Translate&amp;Prices&amp;Logo'!$D$1=5,'Translate&amp;Prices&amp;Logo'!$D$1=6),AR30,
IF('Translate&amp;Prices&amp;Logo'!$D$1=3,AS30,AT30)))</f>
        <v>5.4532600000000002</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Notes</v>
      </c>
      <c r="C32" s="694"/>
      <c r="D32" s="293"/>
      <c r="E32" s="695"/>
      <c r="F32" s="511"/>
      <c r="G32" s="696"/>
      <c r="H32" s="291"/>
      <c r="I32" s="695"/>
      <c r="J32" s="511"/>
      <c r="K32" s="696"/>
      <c r="L32" s="291"/>
      <c r="M32" s="695"/>
      <c r="N32" s="511"/>
      <c r="O32" s="696"/>
      <c r="S32" s="690" t="str">
        <f>'Translate&amp;Prices&amp;Logo'!$B$323</f>
        <v>Top guide profile length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v>
      </c>
      <c r="AP32" s="299">
        <f>IF('Translate&amp;Prices&amp;Logo'!$D$1=1,AQ32,
IF(OR('Translate&amp;Prices&amp;Logo'!$D$1=2,'Translate&amp;Prices&amp;Logo'!$D$1=5,'Translate&amp;Prices&amp;Logo'!$D$1=6),AR32,
IF('Translate&amp;Prices&amp;Logo'!$D$1=3,AS32,AT32)))</f>
        <v>25.920940000000002</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Bottom guide profile, length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v>
      </c>
      <c r="AP34" s="299">
        <f>IF('Translate&amp;Prices&amp;Logo'!$D$1=1,AQ34,
IF(OR('Translate&amp;Prices&amp;Logo'!$D$1=2,'Translate&amp;Prices&amp;Logo'!$D$1=5,'Translate&amp;Prices&amp;Logo'!$D$1=6),AR34,
IF('Translate&amp;Prices&amp;Logo'!$D$1=3,AS34,AT34)))</f>
        <v>8.1798099999999998</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Type of profile</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v>
      </c>
      <c r="AC37" s="261" t="str">
        <f>'Translate&amp;Prices&amp;Logo'!$B$693</f>
        <v>Total price of fittings</v>
      </c>
      <c r="AD37" s="261"/>
      <c r="AE37" s="261"/>
      <c r="AF37" s="261"/>
      <c r="AG37" s="261"/>
      <c r="AH37" s="261"/>
      <c r="AI37" s="261"/>
      <c r="AJ37" s="261"/>
      <c r="AK37" s="36"/>
      <c r="AL37" s="264">
        <f>SUM(AL24,AL26,AL28,AL30,AL32,AL34)</f>
        <v>0</v>
      </c>
      <c r="AM37" s="260" t="str">
        <f>VLOOKUP('Translate&amp;Prices&amp;Logo'!$D$1,kombinace_1!$EV$1:$EW$6,2,0)</f>
        <v>€</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Type of glass/mesh</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Total order price</v>
      </c>
      <c r="AD39" s="692"/>
      <c r="AE39" s="692"/>
      <c r="AF39" s="692"/>
      <c r="AG39" s="692"/>
      <c r="AH39" s="692"/>
      <c r="AI39" s="692"/>
      <c r="AJ39" s="693"/>
      <c r="AK39" s="36"/>
      <c r="AL39" s="264">
        <f>IF(AQ13=TRUE,SUM(E48,I48,M48,AL37,W37),SUM(E48,I48,M48,W37))</f>
        <v>0</v>
      </c>
      <c r="AM39" s="268" t="str">
        <f>VLOOKUP('Translate&amp;Prices&amp;Logo'!D1,kombinace_1!$EV$1:$EW$6,2,0)</f>
        <v>€</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Total price of frames</v>
      </c>
      <c r="C48" s="692"/>
      <c r="D48" s="293"/>
      <c r="E48" s="707">
        <f>SUM(E55:E56)*(1-(I15/100))</f>
        <v>0</v>
      </c>
      <c r="F48" s="708"/>
      <c r="G48" s="267" t="str">
        <f>VLOOKUP('Translate&amp;Prices&amp;Logo'!D1,kombinace_1!$EV$1:$EW$6,2,0)</f>
        <v>€</v>
      </c>
      <c r="H48" s="291"/>
      <c r="I48" s="707">
        <f>SUM(I55:I56)*(1-(I15/100))</f>
        <v>0</v>
      </c>
      <c r="J48" s="708"/>
      <c r="K48" s="267" t="str">
        <f>VLOOKUP('Translate&amp;Prices&amp;Logo'!D1,kombinace_1!$EV$1:$EW$6,2,0)</f>
        <v>€</v>
      </c>
      <c r="L48" s="291"/>
      <c r="M48" s="707">
        <f>SUM(M55:M56)*(1-(I15/100))</f>
        <v>0</v>
      </c>
      <c r="N48" s="708"/>
      <c r="O48" s="267" t="str">
        <f>VLOOKUP('Translate&amp;Prices&amp;Logo'!D1,kombinace_1!$EV$1:$EW$6,2,0)</f>
        <v>€</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By default, the frames are ready for the sliding fittings H27AL (25 kg load-capacity per frame) and H37AL (35 kg load-capacity per frame).</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The height of the frame = internal height of the corpus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The price for sliding frames is the same as the price for regular frames.</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maximum profile length 2500 mm</v>
      </c>
      <c r="AJ57" s="1">
        <v>20</v>
      </c>
      <c r="BO57" s="452"/>
    </row>
    <row r="58" spans="3:77" ht="14.85" hidden="1" customHeight="1">
      <c r="E58" s="34" t="e">
        <f ca="1"/>
        <v>#N/A</v>
      </c>
      <c r="I58" s="1" t="e">
        <f ca="1"/>
        <v>#N/A</v>
      </c>
      <c r="M58" s="1" t="e">
        <f ca="1"/>
        <v>#N/A</v>
      </c>
      <c r="U58" t="str">
        <f>'Translate&amp;Prices&amp;Logo'!$B$8</f>
        <v>BRW white matt RAL 9003 - maximum profile length 2500 mm</v>
      </c>
      <c r="AJ58" s="1">
        <v>20</v>
      </c>
      <c r="BO58" s="452"/>
    </row>
    <row r="59" spans="3:77" ht="14.85" hidden="1" customHeight="1">
      <c r="E59" s="34" t="e">
        <f ca="1"/>
        <v>#N/A</v>
      </c>
      <c r="I59" s="1" t="e">
        <f ca="1"/>
        <v>#N/A</v>
      </c>
      <c r="M59" s="1" t="e">
        <f ca="1"/>
        <v>#N/A</v>
      </c>
      <c r="U59" t="str">
        <f>'Translate&amp;Prices&amp;Logo'!$B$9</f>
        <v>BRW white gloss RAL 9003 - maximum profile length 2500 mm</v>
      </c>
      <c r="AJ59" s="1">
        <v>20</v>
      </c>
      <c r="BO59" s="452"/>
    </row>
    <row r="60" spans="3:77" ht="14.85" hidden="1" customHeight="1">
      <c r="E60" s="34" t="e">
        <f ca="1"/>
        <v>#N/A</v>
      </c>
      <c r="I60" s="1" t="e">
        <f ca="1"/>
        <v>#N/A</v>
      </c>
      <c r="M60" s="1" t="e">
        <f ca="1"/>
        <v>#N/A</v>
      </c>
      <c r="U60" t="str">
        <f>'Translate&amp;Prices&amp;Logo'!$B$11</f>
        <v>BRW brushed - maximum profile length 2500 mm</v>
      </c>
      <c r="AJ60" s="1">
        <v>20</v>
      </c>
      <c r="BO60" s="452"/>
    </row>
    <row r="61" spans="3:77" ht="14.85" hidden="1" customHeight="1">
      <c r="E61" s="34" t="e">
        <f ca="1"/>
        <v>#N/A</v>
      </c>
      <c r="I61" s="1" t="e">
        <f ca="1"/>
        <v>#N/A</v>
      </c>
      <c r="M61" s="1" t="e">
        <f ca="1"/>
        <v>#N/A</v>
      </c>
      <c r="U61" t="str">
        <f>'Translate&amp;Prices&amp;Logo'!$B$12</f>
        <v>BRW black matt - maximum profile length 2500 mm</v>
      </c>
      <c r="AJ61" s="1">
        <v>20</v>
      </c>
      <c r="BO61" s="452"/>
    </row>
    <row r="62" spans="3:77" ht="14.85" hidden="1" customHeight="1">
      <c r="E62" s="34" t="e">
        <f ca="1"/>
        <v>#N/A</v>
      </c>
      <c r="I62" s="1" t="e">
        <f ca="1"/>
        <v>#N/A</v>
      </c>
      <c r="M62" s="1" t="e">
        <f ca="1"/>
        <v>#N/A</v>
      </c>
      <c r="U62" t="str">
        <f>'Translate&amp;Prices&amp;Logo'!$B$14</f>
        <v>BRW black brushed - maximum profile length 2500 mm</v>
      </c>
      <c r="AJ62" s="1">
        <v>20</v>
      </c>
      <c r="BO62" s="452"/>
    </row>
    <row r="63" spans="3:77" ht="14.85" hidden="1" customHeight="1">
      <c r="E63" s="34" t="e">
        <f ca="1"/>
        <v>#N/A</v>
      </c>
      <c r="I63" s="1" t="e">
        <f ca="1"/>
        <v>#N/A</v>
      </c>
      <c r="M63" s="1" t="e">
        <f ca="1"/>
        <v>#N/A</v>
      </c>
      <c r="U63" t="str">
        <f>'Translate&amp;Prices&amp;Logo'!$B$15</f>
        <v>BRW Light Stainless Steel (INOX ACIER gratta) - maximum profile length 2500 mm</v>
      </c>
      <c r="AJ63" s="1">
        <v>20</v>
      </c>
      <c r="BO63" s="452"/>
    </row>
    <row r="64" spans="3:77" ht="14.85" hidden="1" customHeight="1">
      <c r="E64" s="34" t="e">
        <f ca="1"/>
        <v>#N/A</v>
      </c>
      <c r="I64" s="1" t="e">
        <f ca="1"/>
        <v>#N/A</v>
      </c>
      <c r="M64" s="1" t="e">
        <f ca="1"/>
        <v>#N/A</v>
      </c>
      <c r="U64" t="str">
        <f>'Translate&amp;Prices&amp;Logo'!$B$7</f>
        <v>BRW anthracite RAL 7021 - maximum profile length 2500 mm</v>
      </c>
      <c r="AJ64" s="1">
        <v>20</v>
      </c>
      <c r="BO64" s="452"/>
    </row>
    <row r="65" spans="5:71" ht="14.85" hidden="1" customHeight="1">
      <c r="E65" s="34" t="e">
        <f ca="1"/>
        <v>#N/A</v>
      </c>
      <c r="I65" s="1" t="e">
        <f ca="1"/>
        <v>#N/A</v>
      </c>
      <c r="M65" s="1" t="e">
        <f ca="1"/>
        <v>#N/A</v>
      </c>
      <c r="U65" t="str">
        <f>'Translate&amp;Prices&amp;Logo'!$B$69</f>
        <v>BRW champagne - maximum profile length 2500 mm</v>
      </c>
      <c r="AJ65" s="1">
        <v>20</v>
      </c>
      <c r="BO65" s="452"/>
    </row>
    <row r="66" spans="5:71" ht="14.85" hidden="1" customHeight="1">
      <c r="E66" s="34" t="e">
        <f ca="1"/>
        <v>#N/A</v>
      </c>
      <c r="I66" s="1" t="e">
        <f ca="1"/>
        <v>#N/A</v>
      </c>
      <c r="M66" s="1" t="e">
        <f ca="1"/>
        <v>#N/A</v>
      </c>
      <c r="U66" t="str">
        <f>'Translate&amp;Prices&amp;Logo'!$B$70</f>
        <v>BRW champagne light - maximum profile length 2500 mm</v>
      </c>
      <c r="AJ66" s="1">
        <v>20</v>
      </c>
    </row>
    <row r="67" spans="5:71" ht="14.85" hidden="1" customHeight="1">
      <c r="E67" s="34" t="e">
        <f ca="1"/>
        <v>#N/A</v>
      </c>
      <c r="I67" s="1" t="e">
        <f ca="1"/>
        <v>#N/A</v>
      </c>
      <c r="M67" s="1" t="e">
        <f ca="1"/>
        <v>#N/A</v>
      </c>
      <c r="U67" t="str">
        <f>'Translate&amp;Prices&amp;Logo'!$B$10</f>
        <v>BRW brown - maximum profile length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dark stainless steel (INOX LIJA)- maximum profile length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cashmere - maximum profile length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gold - maximum profile length 2500 mm</v>
      </c>
      <c r="AJ70" s="1">
        <v>20</v>
      </c>
      <c r="BN70" s="10"/>
      <c r="BO70"/>
      <c r="BP70"/>
      <c r="BQ70"/>
      <c r="BR70"/>
      <c r="BS70" s="174"/>
    </row>
    <row r="71" spans="5:71" ht="14.85" hidden="1" customHeight="1">
      <c r="E71" s="34" t="e">
        <f ca="1"/>
        <v>#N/A</v>
      </c>
      <c r="I71" s="1" t="e">
        <f ca="1"/>
        <v>#N/A</v>
      </c>
      <c r="M71" s="1" t="e">
        <f ca="1"/>
        <v>#N/A</v>
      </c>
      <c r="U71" t="str">
        <f>'Translate&amp;Prices&amp;Logo'!$B$55</f>
        <v>BRW arany csiszolt - maximum profile length 2500 mm</v>
      </c>
      <c r="AJ71" s="1">
        <v>40</v>
      </c>
    </row>
    <row r="72" spans="5:71" ht="14.85" hidden="1" customHeight="1">
      <c r="E72" s="34" t="e">
        <f ca="1"/>
        <v>#N/A</v>
      </c>
      <c r="I72" s="1" t="e">
        <f ca="1"/>
        <v>#N/A</v>
      </c>
      <c r="M72" s="1" t="e">
        <f ca="1"/>
        <v>#N/A</v>
      </c>
      <c r="U72" t="str">
        <f>'Translate&amp;Prices&amp;Logo'!$B$17</f>
        <v>Corleone (elox.) - maximum profile length 1500 mm</v>
      </c>
      <c r="AJ72" s="1">
        <v>40</v>
      </c>
    </row>
    <row r="73" spans="5:71" ht="14.85" hidden="1" customHeight="1">
      <c r="E73" s="34" t="e">
        <f ca="1"/>
        <v>#N/A</v>
      </c>
      <c r="I73" s="1" t="e">
        <f ca="1"/>
        <v>#N/A</v>
      </c>
      <c r="M73" s="1" t="e">
        <f ca="1"/>
        <v>#N/A</v>
      </c>
      <c r="U73" t="str">
        <f>'Translate&amp;Prices&amp;Logo'!$B$18</f>
        <v>Corleone black matt - maximum profile length 1500 mm</v>
      </c>
      <c r="AJ73" s="1">
        <v>20</v>
      </c>
    </row>
    <row r="74" spans="5:71" ht="14.85" hidden="1" customHeight="1">
      <c r="E74" s="34" t="e">
        <f ca="1"/>
        <v>#N/A</v>
      </c>
      <c r="I74" s="1" t="e">
        <f ca="1"/>
        <v>#N/A</v>
      </c>
      <c r="M74" s="1" t="e">
        <f ca="1"/>
        <v>#N/A</v>
      </c>
      <c r="U74" t="str">
        <f>'Translate&amp;Prices&amp;Logo'!$B$59</f>
        <v>ASTI black matt - maximum profile length 2150 mm</v>
      </c>
      <c r="AJ74" s="1">
        <v>20</v>
      </c>
      <c r="BO74" s="344"/>
      <c r="BP74" s="344"/>
      <c r="BQ74" s="344"/>
      <c r="BR74" s="344"/>
      <c r="BS74" s="344"/>
    </row>
    <row r="75" spans="5:71" ht="14.85" hidden="1" customHeight="1">
      <c r="E75" s="34" t="e">
        <f ca="1"/>
        <v>#N/A</v>
      </c>
      <c r="I75" s="1" t="e">
        <f ca="1"/>
        <v>#N/A</v>
      </c>
      <c r="M75" s="1" t="e">
        <f ca="1"/>
        <v>#N/A</v>
      </c>
      <c r="U75" t="str">
        <f>'Translate&amp;Prices&amp;Logo'!$B$60</f>
        <v>ASTI anthracite RAL 7021 matt - maximum profile length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maximum profile length 2500 mm</v>
      </c>
      <c r="AJ76" s="1">
        <v>40</v>
      </c>
      <c r="BO76" s="344"/>
      <c r="BP76" s="344"/>
      <c r="BQ76" s="344"/>
      <c r="BR76" s="344"/>
      <c r="BS76" s="344"/>
    </row>
    <row r="77" spans="5:71" ht="14.85" hidden="1" customHeight="1">
      <c r="E77" s="34" t="e">
        <f ca="1"/>
        <v>#N/A</v>
      </c>
      <c r="I77" s="1" t="e">
        <f ca="1"/>
        <v>#N/A</v>
      </c>
      <c r="M77" s="1" t="e">
        <f ca="1"/>
        <v>#N/A</v>
      </c>
      <c r="U77" t="str">
        <f>'Translate&amp;Prices&amp;Logo'!$B$20</f>
        <v>Imola black matt - maximum profile length 2500 mm</v>
      </c>
      <c r="AJ77" s="1">
        <v>40</v>
      </c>
      <c r="BO77" s="344"/>
      <c r="BP77" s="344"/>
      <c r="BQ77" s="344"/>
      <c r="BR77" s="344"/>
      <c r="BS77" s="344"/>
    </row>
    <row r="78" spans="5:71" ht="14.85" hidden="1" customHeight="1">
      <c r="E78" s="34" t="e">
        <f ca="1"/>
        <v>#N/A</v>
      </c>
      <c r="I78" s="1" t="e">
        <f ca="1"/>
        <v>#N/A</v>
      </c>
      <c r="M78" s="1" t="e">
        <f ca="1"/>
        <v>#N/A</v>
      </c>
      <c r="U78" t="str">
        <f>'Translate&amp;Prices&amp;Logo'!$B$21</f>
        <v>Imola white matt RAL 9003 - maximum profile length 2500 mm</v>
      </c>
      <c r="AJ78" s="1">
        <v>40</v>
      </c>
    </row>
    <row r="79" spans="5:71" ht="14.85" hidden="1" customHeight="1">
      <c r="E79" s="34" t="e">
        <f ca="1"/>
        <v>#N/A</v>
      </c>
      <c r="I79" s="1" t="e">
        <f ca="1"/>
        <v>#N/A</v>
      </c>
      <c r="M79" s="1" t="e">
        <f ca="1"/>
        <v>#N/A</v>
      </c>
      <c r="U79" t="str">
        <f>'Translate&amp;Prices&amp;Logo'!$B$45</f>
        <v>Imola gold - maximum profile length 2150 mm</v>
      </c>
      <c r="AJ79" s="1">
        <v>40</v>
      </c>
    </row>
    <row r="80" spans="5:71" ht="14.85" hidden="1" customHeight="1">
      <c r="E80" s="34" t="e">
        <f ca="1"/>
        <v>#N/A</v>
      </c>
      <c r="I80" s="1" t="e">
        <f ca="1"/>
        <v>#N/A</v>
      </c>
      <c r="M80" s="1" t="e">
        <f ca="1"/>
        <v>#N/A</v>
      </c>
      <c r="U80" t="str">
        <f>'Translate&amp;Prices&amp;Logo'!$B$22</f>
        <v>Modena (elox.) - maximum profile length 2500 mm</v>
      </c>
      <c r="AJ80" s="1">
        <v>40</v>
      </c>
    </row>
    <row r="81" spans="5:72" ht="14.85" hidden="1" customHeight="1">
      <c r="E81" s="34" t="e">
        <f ca="1"/>
        <v>#N/A</v>
      </c>
      <c r="I81" s="1" t="e">
        <f ca="1"/>
        <v>#N/A</v>
      </c>
      <c r="M81" s="1" t="e">
        <f ca="1"/>
        <v>#N/A</v>
      </c>
      <c r="U81" t="str">
        <f>'Translate&amp;Prices&amp;Logo'!$B$23</f>
        <v>Modena black matt - maximum profile length 2500 mm</v>
      </c>
      <c r="AJ81" s="1">
        <v>40</v>
      </c>
    </row>
    <row r="82" spans="5:72" ht="14.85" hidden="1" customHeight="1">
      <c r="E82" s="34" t="e">
        <f ca="1"/>
        <v>#N/A</v>
      </c>
      <c r="I82" s="1" t="e">
        <f ca="1"/>
        <v>#N/A</v>
      </c>
      <c r="M82" s="1" t="e">
        <f ca="1"/>
        <v>#N/A</v>
      </c>
      <c r="U82" t="str">
        <f>'Translate&amp;Prices&amp;Logo'!$B$25</f>
        <v>black black brushed - maximum profile length 2500 mm</v>
      </c>
      <c r="AJ82" s="1">
        <v>40</v>
      </c>
    </row>
    <row r="83" spans="5:72" ht="14.85" hidden="1" customHeight="1">
      <c r="E83" s="34" t="e">
        <f ca="1"/>
        <v>#N/A</v>
      </c>
      <c r="I83" s="1" t="e">
        <f ca="1"/>
        <v>#N/A</v>
      </c>
      <c r="M83" s="1" t="e">
        <f ca="1"/>
        <v>#N/A</v>
      </c>
      <c r="U83" t="str">
        <f>'Translate&amp;Prices&amp;Logo'!$B$26</f>
        <v>Modena dark stainless steel brushed - maximum profile length 2500 mm</v>
      </c>
      <c r="AJ83" s="1">
        <v>40</v>
      </c>
      <c r="BT83" s="1"/>
    </row>
    <row r="84" spans="5:72" ht="14.85" hidden="1" customHeight="1">
      <c r="E84" s="34" t="e">
        <f ca="1"/>
        <v>#N/A</v>
      </c>
      <c r="I84" s="1" t="e">
        <f ca="1"/>
        <v>#N/A</v>
      </c>
      <c r="M84" s="1" t="e">
        <f ca="1"/>
        <v>#N/A</v>
      </c>
      <c r="U84" t="str">
        <f>'Translate&amp;Prices&amp;Logo'!$B$61</f>
        <v>Modena brown - maximum profile length 2500 mm</v>
      </c>
      <c r="AJ84" s="1">
        <v>40</v>
      </c>
      <c r="BT84" s="1"/>
    </row>
    <row r="85" spans="5:72" ht="14.85" hidden="1" customHeight="1">
      <c r="E85" s="34" t="e">
        <f ca="1"/>
        <v>#N/A</v>
      </c>
      <c r="I85" s="1" t="e">
        <f ca="1"/>
        <v>#N/A</v>
      </c>
      <c r="M85" s="1" t="e">
        <f ca="1"/>
        <v>#N/A</v>
      </c>
      <c r="U85" t="str">
        <f>'Translate&amp;Prices&amp;Logo'!$B$29</f>
        <v>Pisa (elox.) - maximum profile length 2500 mm</v>
      </c>
      <c r="AJ85" s="1">
        <v>40</v>
      </c>
      <c r="BT85" s="1"/>
    </row>
    <row r="86" spans="5:72" ht="14.85" hidden="1" customHeight="1">
      <c r="E86" s="34" t="e">
        <f ca="1"/>
        <v>#N/A</v>
      </c>
      <c r="I86" s="1" t="e">
        <f ca="1"/>
        <v>#N/A</v>
      </c>
      <c r="M86" s="1" t="e">
        <f ca="1"/>
        <v>#N/A</v>
      </c>
      <c r="U86" t="str">
        <f>'Translate&amp;Prices&amp;Logo'!$B$52</f>
        <v>Pisa white matt RAL 9003 - maximum profile length 2500 mm</v>
      </c>
      <c r="AJ86" s="1">
        <v>40</v>
      </c>
      <c r="BT86" s="1"/>
    </row>
    <row r="87" spans="5:72" ht="14.85" hidden="1" customHeight="1">
      <c r="E87" s="34" t="e">
        <f ca="1"/>
        <v>#N/A</v>
      </c>
      <c r="I87" s="1" t="e">
        <f ca="1"/>
        <v>#N/A</v>
      </c>
      <c r="M87" s="1" t="e">
        <f ca="1"/>
        <v>#N/A</v>
      </c>
      <c r="U87" t="str">
        <f>'Translate&amp;Prices&amp;Logo'!$B$53</f>
        <v>Pisa white gloss RAL 9003 - maximum profile length 2500 mm</v>
      </c>
      <c r="AJ87" s="1">
        <v>40</v>
      </c>
      <c r="BT87" s="1"/>
    </row>
    <row r="88" spans="5:72" ht="14.85" hidden="1" customHeight="1">
      <c r="E88" s="34" t="e">
        <f ca="1"/>
        <v>#N/A</v>
      </c>
      <c r="I88" s="1" t="e">
        <f ca="1"/>
        <v>#N/A</v>
      </c>
      <c r="M88" s="1" t="e">
        <f ca="1"/>
        <v>#N/A</v>
      </c>
      <c r="U88" t="str">
        <f>'Translate&amp;Prices&amp;Logo'!$B$30</f>
        <v>Pisa black matt - maximum profile length 2500 mm</v>
      </c>
      <c r="AJ88" s="1">
        <v>20</v>
      </c>
    </row>
    <row r="89" spans="5:72" ht="14.85" hidden="1" customHeight="1">
      <c r="E89" s="34" t="e">
        <f ca="1"/>
        <v>#N/A</v>
      </c>
      <c r="I89" s="1" t="e">
        <f ca="1"/>
        <v>#N/A</v>
      </c>
      <c r="M89" s="1" t="e">
        <f ca="1"/>
        <v>#N/A</v>
      </c>
      <c r="U89" t="str">
        <f>'Translate&amp;Prices&amp;Logo'!$B$58</f>
        <v>Pisa gold - maximum profile length 2150 mm</v>
      </c>
      <c r="AJ89" s="1">
        <v>20</v>
      </c>
    </row>
    <row r="90" spans="5:72" ht="14.85" hidden="1" customHeight="1">
      <c r="E90" s="34" t="e">
        <f ca="1"/>
        <v>#N/A</v>
      </c>
      <c r="I90" s="1" t="e">
        <f ca="1"/>
        <v>#N/A</v>
      </c>
      <c r="M90" s="1" t="e">
        <f ca="1"/>
        <v>#N/A</v>
      </c>
      <c r="U90" t="str">
        <f>'Translate&amp;Prices&amp;Logo'!$B$50</f>
        <v>Rocca (elox.) - maximum profile length 2150 mm</v>
      </c>
      <c r="AJ90" s="1">
        <v>20</v>
      </c>
    </row>
    <row r="91" spans="5:72" ht="14.85" hidden="1" customHeight="1">
      <c r="E91" s="34" t="e">
        <f ca="1"/>
        <v>#N/A</v>
      </c>
      <c r="I91" s="1" t="e">
        <f ca="1"/>
        <v>#N/A</v>
      </c>
      <c r="M91" s="1" t="e">
        <f ca="1"/>
        <v>#N/A</v>
      </c>
      <c r="U91" t="str">
        <f>'Translate&amp;Prices&amp;Logo'!$B$42</f>
        <v>Rocca black matt - maximum profile length 2150 mm</v>
      </c>
      <c r="AJ91" s="1">
        <v>20</v>
      </c>
    </row>
    <row r="92" spans="5:72" ht="14.85" hidden="1" customHeight="1">
      <c r="E92" s="34" t="e">
        <f ca="1"/>
        <v>#N/A</v>
      </c>
      <c r="I92" s="1" t="e">
        <f ca="1"/>
        <v>#N/A</v>
      </c>
      <c r="M92" s="1" t="e">
        <f ca="1"/>
        <v>#N/A</v>
      </c>
      <c r="U92" t="str">
        <f>'Translate&amp;Prices&amp;Logo'!$B$63</f>
        <v>Treviso black matt - maximum profile length 2750 mm</v>
      </c>
      <c r="AJ92" s="1">
        <v>20</v>
      </c>
    </row>
    <row r="93" spans="5:72" ht="14.85" hidden="1" customHeight="1">
      <c r="E93" s="34" t="e">
        <f ca="1"/>
        <v>#N/A</v>
      </c>
      <c r="I93" s="1" t="e">
        <f ca="1"/>
        <v>#N/A</v>
      </c>
      <c r="M93" s="1" t="e">
        <f ca="1"/>
        <v>#N/A</v>
      </c>
      <c r="U93" t="str">
        <f>'Translate&amp;Prices&amp;Logo'!$B$34</f>
        <v>Verona (elox.) - maximum profile length 2500 mm</v>
      </c>
      <c r="AJ93" s="1">
        <v>20</v>
      </c>
    </row>
    <row r="94" spans="5:72" ht="14.85" hidden="1" customHeight="1">
      <c r="E94" s="34" t="e">
        <f ca="1"/>
        <v>#N/A</v>
      </c>
      <c r="I94" s="1" t="e">
        <f ca="1"/>
        <v>#N/A</v>
      </c>
      <c r="M94" s="1" t="e">
        <f ca="1"/>
        <v>#N/A</v>
      </c>
      <c r="U94" t="str">
        <f>'Translate&amp;Prices&amp;Logo'!$B$35</f>
        <v>Verona brushed aluminium - maximum profile length 2500 mm</v>
      </c>
      <c r="AJ94" s="1">
        <v>20</v>
      </c>
    </row>
    <row r="95" spans="5:72" ht="14.85" hidden="1" customHeight="1">
      <c r="E95" s="34" t="e">
        <f ca="1"/>
        <v>#N/A</v>
      </c>
      <c r="I95" s="1" t="e">
        <f ca="1"/>
        <v>#N/A</v>
      </c>
      <c r="M95" s="1" t="e">
        <f ca="1"/>
        <v>#N/A</v>
      </c>
      <c r="U95" t="str">
        <f>'Translate&amp;Prices&amp;Logo'!$B$37</f>
        <v>Verona black matt - maximum profile length 2500 mm</v>
      </c>
      <c r="AJ95" s="1">
        <v>20</v>
      </c>
    </row>
    <row r="96" spans="5:72" ht="14.85" hidden="1" customHeight="1">
      <c r="E96" s="34" t="e">
        <f ca="1"/>
        <v>#N/A</v>
      </c>
      <c r="I96" s="1" t="e">
        <f ca="1"/>
        <v>#N/A</v>
      </c>
      <c r="M96" s="1" t="e">
        <f ca="1"/>
        <v>#N/A</v>
      </c>
      <c r="U96" t="str">
        <f>'Translate&amp;Prices&amp;Logo'!$B$36</f>
        <v>Verona black gloss - maximum profile length 2500 mm</v>
      </c>
      <c r="AJ96" s="1">
        <v>20</v>
      </c>
    </row>
    <row r="97" spans="5:36" ht="14.85" hidden="1" customHeight="1">
      <c r="E97" s="34" t="e">
        <f ca="1"/>
        <v>#N/A</v>
      </c>
      <c r="I97" s="1" t="e">
        <f ca="1"/>
        <v>#N/A</v>
      </c>
      <c r="M97" s="1" t="e">
        <f ca="1"/>
        <v>#N/A</v>
      </c>
      <c r="U97" t="str">
        <f>'Translate&amp;Prices&amp;Logo'!$B$38</f>
        <v>Verona brown - maximum profile length 2500 mm</v>
      </c>
      <c r="AJ97" s="1">
        <v>20</v>
      </c>
    </row>
    <row r="98" spans="5:36" ht="14.85" hidden="1" customHeight="1">
      <c r="E98" s="34" t="e">
        <f ca="1"/>
        <v>#N/A</v>
      </c>
      <c r="I98" s="1" t="e">
        <f ca="1"/>
        <v>#N/A</v>
      </c>
      <c r="M98" s="1" t="e">
        <f ca="1"/>
        <v>#N/A</v>
      </c>
      <c r="U98" t="str">
        <f>'Translate&amp;Prices&amp;Logo'!$B$39</f>
        <v>Verona champagne - maximum profile length 2500 mm</v>
      </c>
      <c r="AJ98" s="1">
        <v>20</v>
      </c>
    </row>
    <row r="99" spans="5:36" ht="14.85" hidden="1" customHeight="1">
      <c r="E99" s="34" t="e">
        <f ca="1"/>
        <v>#N/A</v>
      </c>
      <c r="I99" s="1" t="e">
        <f ca="1"/>
        <v>#N/A</v>
      </c>
      <c r="M99" s="1" t="e">
        <f ca="1"/>
        <v>#N/A</v>
      </c>
      <c r="U99" t="str">
        <f>'Translate&amp;Prices&amp;Logo'!$B$40</f>
        <v>Verona dark stainless steel brushed - maximum profile length 2500 mm</v>
      </c>
      <c r="AJ99" s="1">
        <v>20</v>
      </c>
    </row>
    <row r="100" spans="5:36" ht="14.85" hidden="1" customHeight="1">
      <c r="E100" s="34" t="e">
        <f ca="1"/>
        <v>#N/A</v>
      </c>
      <c r="I100" s="1" t="e">
        <f ca="1"/>
        <v>#N/A</v>
      </c>
      <c r="M100" s="1" t="e">
        <f ca="1"/>
        <v>#N/A</v>
      </c>
      <c r="U100" t="str">
        <f>'Translate&amp;Prices&amp;Logo'!$B$41</f>
        <v>Verona light stainless steel (Acier gratta) - maximum profile length 2500 mm</v>
      </c>
      <c r="AJ100" s="1">
        <v>45</v>
      </c>
    </row>
    <row r="101" spans="5:36" ht="14.85" hidden="1" customHeight="1">
      <c r="E101" s="34"/>
      <c r="U101" t="str">
        <f>'Translate&amp;Prices&amp;Logo'!$B$62</f>
        <v>Verona Ivory mat - maximum profile length 2150 mm</v>
      </c>
      <c r="AJ101" s="1">
        <v>45</v>
      </c>
    </row>
    <row r="102" spans="5:36" ht="14.85" hidden="1" customHeight="1">
      <c r="E102" s="34"/>
      <c r="U102" t="str">
        <f>'Translate&amp;Prices&amp;Logo'!$B$65</f>
        <v>Verona cashmere - maximum profile length 2150 mm</v>
      </c>
      <c r="AJ102" s="1">
        <v>45</v>
      </c>
    </row>
    <row r="103" spans="5:36" ht="14.85" hidden="1" customHeight="1">
      <c r="E103" s="34"/>
      <c r="U103" t="str">
        <f>'Translate&amp;Prices&amp;Logo'!$B$24</f>
        <v>Verona gold - maximum profile length 2150 mm</v>
      </c>
      <c r="AJ103" s="1">
        <v>45</v>
      </c>
    </row>
    <row r="104" spans="5:36" ht="14.85" hidden="1" customHeight="1">
      <c r="E104" s="34"/>
      <c r="U104" t="str">
        <f>'Translate&amp;Prices&amp;Logo'!$B$56</f>
        <v>Verona gold brushed - maximum profile length 2150 mm</v>
      </c>
      <c r="AJ104" s="1">
        <v>45</v>
      </c>
    </row>
    <row r="105" spans="5:36" ht="14.85" hidden="1" customHeight="1">
      <c r="E105" s="34"/>
      <c r="U105" t="str">
        <f>'Translate&amp;Prices&amp;Logo'!$B$43</f>
        <v>Vivaro (elox.) - maximum profile length 2500 mm</v>
      </c>
      <c r="AJ105" s="1">
        <v>45</v>
      </c>
    </row>
    <row r="106" spans="5:36" ht="14.85" hidden="1" customHeight="1">
      <c r="U106" t="str">
        <f>'Translate&amp;Prices&amp;Logo'!$B$44</f>
        <v>Vivaro black matt - maximum profile length 2500 mm</v>
      </c>
      <c r="AJ106" s="1">
        <v>45</v>
      </c>
    </row>
    <row r="107" spans="5:36" ht="14.85" hidden="1" customHeight="1">
      <c r="U107" t="str">
        <f>'Translate&amp;Prices&amp;Logo'!$B$46</f>
        <v>Vivaro dark stainless steel - maximum profile length 2500 mm</v>
      </c>
      <c r="AJ107" s="1">
        <v>20</v>
      </c>
    </row>
    <row r="108" spans="5:36" ht="14.85" hidden="1" customHeight="1">
      <c r="U108" t="str">
        <f>'Translate&amp;Prices&amp;Logo'!$B$47</f>
        <v>Vivaro white matt RAL 9003 - maximum profile length 2500 mm</v>
      </c>
      <c r="AJ108" s="1">
        <v>20</v>
      </c>
    </row>
    <row r="109" spans="5:36" ht="14.85" hidden="1" customHeight="1">
      <c r="U109" t="str">
        <f>'Translate&amp;Prices&amp;Logo'!$B$48</f>
        <v>Vivaro white gloss RAL 9003 - maximum profile length 2500 mm</v>
      </c>
      <c r="AJ109" s="1">
        <v>27</v>
      </c>
    </row>
    <row r="110" spans="5:36" ht="14.85" hidden="1" customHeight="1">
      <c r="U110" t="str">
        <f>'Translate&amp;Prices&amp;Logo'!$B$31</f>
        <v>Vivaro gold - maximum profile length 2150 mm</v>
      </c>
      <c r="AJ110" s="1">
        <v>27</v>
      </c>
    </row>
    <row r="111" spans="5:36" ht="14.85" hidden="1" customHeight="1">
      <c r="U111" t="str">
        <f>'Translate&amp;Prices&amp;Logo'!$B$57</f>
        <v>Vivaro gold brushed - maximum profile length 2150 mm</v>
      </c>
      <c r="AJ111" s="1">
        <v>27</v>
      </c>
    </row>
    <row r="112" spans="5:36" ht="14.85" hidden="1" customHeight="1">
      <c r="U112" t="str">
        <f>'Translate&amp;Prices&amp;Logo'!$B$80</f>
        <v>Rocca elox (Left and Right) + Varna elox (Top and Bottom)</v>
      </c>
      <c r="AJ112" s="1">
        <v>27</v>
      </c>
    </row>
    <row r="113" spans="21:21" ht="14.85" hidden="1" customHeight="1">
      <c r="U113" t="str">
        <f>'Translate&amp;Prices&amp;Logo'!$B$81</f>
        <v>Rocca black (Left and right) + Varna black (Top and bottom)</v>
      </c>
    </row>
    <row r="114" spans="21:21" ht="14.85" hidden="1" customHeight="1">
      <c r="U114" t="str">
        <f>'Translate&amp;Prices&amp;Logo'!$B$71</f>
        <v>ROMA black matt  - maximum profile length 2696 mm</v>
      </c>
    </row>
    <row r="115" spans="21:21" ht="14.85" hidden="1" customHeight="1">
      <c r="U115" t="str">
        <f>'Translate&amp;Prices&amp;Logo'!$B$72</f>
        <v>ROMA champagne matt  - maximum profile length 2696 mm</v>
      </c>
    </row>
    <row r="116" spans="21:21" ht="14.85" hidden="1" customHeight="1">
      <c r="U116" t="str">
        <f>'Translate&amp;Prices&amp;Logo'!$B$73</f>
        <v>ROMA GRIP black matt  - maximum profile length 2696 mm</v>
      </c>
    </row>
    <row r="117" spans="21:21" ht="14.85" hidden="1" customHeight="1">
      <c r="U117" t="str">
        <f>'Translate&amp;Prices&amp;Logo'!$B$74</f>
        <v>ROMA GRIP champagne matt  - maximum profile length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Drawings of profiles and connection fittings</v>
      </c>
      <c r="L2" s="724"/>
      <c r="M2" s="724"/>
      <c r="N2" s="724"/>
      <c r="O2" s="724"/>
      <c r="P2" s="724"/>
      <c r="Q2" s="724"/>
      <c r="R2" s="206"/>
      <c r="S2" s="206"/>
      <c r="T2" s="206"/>
      <c r="U2" s="39"/>
      <c r="V2" s="39"/>
      <c r="W2" s="15"/>
      <c r="X2" s="15"/>
      <c r="Y2" s="15"/>
      <c r="Z2" s="15"/>
      <c r="AA2" s="15"/>
      <c r="AB2" s="15"/>
      <c r="AC2" s="722" t="str">
        <f>'Translate&amp;Prices&amp;Logo'!$B$540</f>
        <v>Main page</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Narrow ALU Frame</v>
      </c>
      <c r="C8" s="721"/>
      <c r="D8" s="721"/>
      <c r="E8" s="721"/>
      <c r="F8" s="721"/>
      <c r="G8" s="721"/>
      <c r="V8" s="727" t="str">
        <f>'Translate&amp;Prices&amp;Logo'!$B$316</f>
        <v>Profile drawings</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Wide ALU Frame</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Minimum distance of hinge</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Combination of 2 Profiles</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Dividing bars</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Main page</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Customer</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Total price of frames</v>
      </c>
      <c r="AC5" s="311"/>
      <c r="AD5" s="311"/>
      <c r="AE5" s="311"/>
      <c r="AF5" s="311"/>
      <c r="AG5" s="36"/>
      <c r="AH5" s="736">
        <f>SUM(Ram_1!$L$30,Ram_2!$L$30,Ram_3!$L$30,Ram_4!$L$30,Ram_5!$L$30,Ram_6!$L$30)</f>
        <v>0</v>
      </c>
      <c r="AI5" s="736"/>
      <c r="AJ5" s="736"/>
      <c r="AK5" s="736"/>
      <c r="AL5" s="736"/>
      <c r="AM5" s="312" t="str">
        <f>VLOOKUP('Translate&amp;Prices&amp;Logo'!D1,kombinace_1!$EV$1:$EW$6,2,0)</f>
        <v>€</v>
      </c>
      <c r="AN5" s="310"/>
      <c r="AO5" s="737" t="str">
        <f>IF(U5="Dostawa na adres","Cennik transportu - kliknij tutaj","")</f>
        <v/>
      </c>
      <c r="AP5" s="737"/>
      <c r="AQ5" s="424"/>
      <c r="AR5" s="424"/>
      <c r="AS5" s="424"/>
    </row>
    <row r="6" spans="1:53" ht="14.85" customHeight="1">
      <c r="B6" s="313" t="str">
        <f>'Translate&amp;Prices&amp;Logo'!$B$253</f>
        <v>ID No:</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Phone:</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Discount on frames</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Back -- Frame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Back -- Frame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Back -- Frame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Back -- Frame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Back -- Frame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Back -- Frame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Main page</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Color previews for individual RAL and REF names are indicative only!!!!</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The glass sample can be ordered under the codes Lacebel VZK003P and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Mesh frame filler</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mesh aluminum gold - field 10x6x1 mm - transparency 67%</v>
      </c>
    </row>
    <row r="67" spans="2:2" ht="16.5" customHeight="1">
      <c r="B67" s="1" t="str">
        <f>CONCATENATE('Translate&amp;Prices&amp;Logo'!B165," - ",'Translate&amp;Prices&amp;Logo'!$B$669)</f>
        <v>mesh steel black matt - field 8x4x1 mm - transparency 50%</v>
      </c>
    </row>
    <row r="68" spans="2:2" ht="16.5" customHeight="1">
      <c r="B68" s="1" t="str">
        <f>CONCATENATE('Translate&amp;Prices&amp;Logo'!B166," - ",'Translate&amp;Prices&amp;Logo'!$B$669)</f>
        <v>mesh steel white - field 8x4x1 mm - transparency 50%</v>
      </c>
    </row>
    <row r="69" spans="2:2" ht="16.5" customHeight="1">
      <c r="B69" s="1" t="str">
        <f>CONCATENATE('Translate&amp;Prices&amp;Logo'!B167," - ",'Translate&amp;Prices&amp;Logo'!$B$670)</f>
        <v>mesh anodized - field 10x6x1 mm - transparency 67%</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Main page</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Not treated</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Harded (delivery is 4 weeks)</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Foil</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Customer</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ID No:</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Phone:</v>
      </c>
      <c r="D12" s="551"/>
      <c r="E12" s="551"/>
      <c r="F12" s="551"/>
      <c r="G12" s="551"/>
      <c r="H12" s="290"/>
      <c r="I12" s="552"/>
      <c r="J12" s="552"/>
      <c r="K12" s="552"/>
      <c r="L12" s="552"/>
      <c r="M12" s="552"/>
      <c r="N12" s="552"/>
      <c r="S12" s="1"/>
      <c r="T12" s="1"/>
      <c r="V12" s="133" t="str">
        <f>'Translate&amp;Prices&amp;Logo'!B95</f>
        <v>Gloss</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Matt</v>
      </c>
      <c r="Z13" s="133" t="e">
        <v>#N/A</v>
      </c>
    </row>
    <row r="14" spans="1:39" ht="14.85" customHeight="1">
      <c r="A14" s="1"/>
      <c r="B14" s="1"/>
      <c r="C14" s="551" t="str">
        <f>'Translate&amp;Prices&amp;Logo'!$B$723</f>
        <v>Discount</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Width</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Height</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v>
      </c>
      <c r="Z23" s="133" t="e">
        <v>#N/A</v>
      </c>
    </row>
    <row r="24" spans="1:26" ht="14.85" customHeight="1">
      <c r="C24" s="549" t="str">
        <f>'Translate&amp;Prices&amp;Logo'!$B$173</f>
        <v>Type of glass</v>
      </c>
      <c r="D24" s="550"/>
      <c r="E24" s="550"/>
      <c r="F24" s="550"/>
      <c r="G24" s="550"/>
      <c r="H24" s="98"/>
      <c r="I24" s="553"/>
      <c r="J24" s="553"/>
      <c r="K24" s="553"/>
      <c r="L24" s="553"/>
      <c r="M24" s="553"/>
      <c r="N24" s="553"/>
      <c r="O24" s="553"/>
      <c r="P24" s="553"/>
      <c r="Q24" s="553"/>
      <c r="R24" s="554"/>
      <c r="V24" s="133" t="str">
        <f>'Translate&amp;Prices&amp;Logo'!B92</f>
        <v>White</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Black</v>
      </c>
      <c r="Z25" s="133" t="e">
        <v>#N/A</v>
      </c>
    </row>
    <row r="26" spans="1:26" ht="14.85" customHeight="1">
      <c r="C26" s="119"/>
      <c r="D26" s="115"/>
      <c r="E26" s="115"/>
      <c r="F26" s="115"/>
      <c r="G26" s="115"/>
      <c r="H26" s="99"/>
      <c r="I26" s="543" t="str">
        <f>"↥↥"&amp;"   "&amp;'Translate&amp;Prices&amp;Logo'!$B$573&amp;" "&amp;C28&amp;"   "&amp;"↥↥"</f>
        <v>↥↥   Do not change after you make a choice type of glass/mesh Type of glass/mesh   ↥↥</v>
      </c>
      <c r="J26" s="543"/>
      <c r="K26" s="543"/>
      <c r="L26" s="543"/>
      <c r="M26" s="543"/>
      <c r="N26" s="543"/>
      <c r="O26" s="543"/>
      <c r="P26" s="543"/>
      <c r="Q26" s="543"/>
      <c r="R26" s="544"/>
      <c r="Z26" s="133" t="e">
        <v>#N/A</v>
      </c>
    </row>
    <row r="27" spans="1:26" ht="14.85" customHeight="1">
      <c r="C27" s="549" t="str">
        <f>'Translate&amp;Prices&amp;Logo'!$B$562</f>
        <v>Type of foil</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Type of glass/mesh</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Edge finishing</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Quantity</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Price</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cross screw</v>
      </c>
      <c r="L1" s="33">
        <v>6</v>
      </c>
      <c r="M1" s="33" t="str">
        <f>'Translate&amp;Prices&amp;Logo'!$B$629</f>
        <v>on screw (w/ cam adjust)</v>
      </c>
      <c r="N1" s="33">
        <v>8</v>
      </c>
      <c r="O1" s="33" t="str">
        <f>'Translate&amp;Prices&amp;Logo'!$B$630</f>
        <v>euroscrew</v>
      </c>
      <c r="P1" s="33">
        <v>10</v>
      </c>
      <c r="Q1" s="33" t="str">
        <f>'Translate&amp;Prices&amp;Logo'!$B$631</f>
        <v>expando</v>
      </c>
      <c r="R1" s="33">
        <v>12</v>
      </c>
      <c r="S1" s="33" t="str">
        <f>'Translate&amp;Prices&amp;Logo'!$B$632</f>
        <v>direct screw</v>
      </c>
      <c r="T1" s="33">
        <v>14</v>
      </c>
      <c r="U1" s="33" t="str">
        <f>'Translate&amp;Prices&amp;Logo'!$B$633</f>
        <v>direct euroscrew</v>
      </c>
      <c r="V1" s="33">
        <v>16</v>
      </c>
      <c r="W1" s="33" t="str">
        <f>'Translate&amp;Prices&amp;Logo'!$B$634</f>
        <v>direct expando</v>
      </c>
      <c r="X1" s="32">
        <v>18</v>
      </c>
      <c r="AC1" s="33" t="str">
        <f>$K$1</f>
        <v>cross screw</v>
      </c>
      <c r="AD1" s="159">
        <v>6</v>
      </c>
      <c r="AE1" s="32" t="e">
        <f>VLOOKUP(Ram_1!$H$15,$G:$X,AD1,0)</f>
        <v>#N/A</v>
      </c>
    </row>
    <row r="2" spans="1:31" ht="16.350000000000001" customHeight="1">
      <c r="A2" s="37" t="s">
        <v>1101</v>
      </c>
      <c r="B2" s="37" t="s">
        <v>2</v>
      </c>
      <c r="C2" s="37" t="str">
        <f>'Translate&amp;Prices&amp;Logo'!B553</f>
        <v>Overlay</v>
      </c>
      <c r="D2" s="32" t="str">
        <f>VLOOKUP(CONCATENATE(A2,"_",B2,"_",C2),$A$69:$B$383,2,0)</f>
        <v>úzký_BLUM_Naložený</v>
      </c>
      <c r="E2" s="37" t="str">
        <f>'Translate&amp;Prices&amp;Logo'!$B$582</f>
        <v>with spring and damping</v>
      </c>
      <c r="F2" s="34" t="str">
        <f>'Translate&amp;Prices&amp;Logo'!$B$585</f>
        <v>silver</v>
      </c>
      <c r="G2" s="34" t="str">
        <f>CONCATENATE(H2," ","-"," ",C2," ",E2," - ",F2)</f>
        <v>118033 - Overlay with spring and damping - silver</v>
      </c>
      <c r="H2" s="35">
        <v>118033</v>
      </c>
      <c r="I2" s="35" t="s">
        <v>1103</v>
      </c>
      <c r="J2" s="35" t="s">
        <v>1103</v>
      </c>
      <c r="K2" s="35">
        <v>12306</v>
      </c>
      <c r="L2" s="35" t="str">
        <f>CONCATENATE($K$1," - ",K2)</f>
        <v>cross screw - 12306</v>
      </c>
      <c r="M2" s="35" t="s">
        <v>2122</v>
      </c>
      <c r="N2" s="35" t="str">
        <f>CONCATENATE($M$1," - ",M2)</f>
        <v>on screw (w/ cam adjust) - N/A</v>
      </c>
      <c r="O2" s="35">
        <v>12318</v>
      </c>
      <c r="P2" s="35" t="str">
        <f>CONCATENATE($O$1," - ",O2)</f>
        <v>euroscrew - 12318</v>
      </c>
      <c r="Q2" s="35">
        <v>12302</v>
      </c>
      <c r="R2" s="35" t="str">
        <f>CONCATENATE($Q$1," - ",Q2)</f>
        <v>expando - 12302</v>
      </c>
      <c r="S2" s="35">
        <v>203387</v>
      </c>
      <c r="T2" s="35" t="str">
        <f>CONCATENATE($S$1," - ",S2)</f>
        <v>direct screw - 203387</v>
      </c>
      <c r="U2" s="35">
        <v>346624</v>
      </c>
      <c r="V2" s="35" t="str">
        <f>CONCATENATE($U$1," - ",U2)</f>
        <v>direct euroscrew - 346624</v>
      </c>
      <c r="W2" s="35">
        <v>211476</v>
      </c>
      <c r="X2" s="35" t="str">
        <f>CONCATENATE($W$1," - ",W2)</f>
        <v>direct expando - 211476</v>
      </c>
      <c r="Y2" s="34"/>
      <c r="Z2" s="34"/>
      <c r="AC2" s="33" t="str">
        <f>$M$1</f>
        <v>on screw (w/ cam adjust)</v>
      </c>
      <c r="AD2" s="34">
        <v>8</v>
      </c>
      <c r="AE2" s="32" t="e">
        <f>VLOOKUP(Ram_1!$H$15,$G:$X,AD2,0)</f>
        <v>#N/A</v>
      </c>
    </row>
    <row r="3" spans="1:31" ht="16.350000000000001" customHeight="1">
      <c r="A3" s="37" t="s">
        <v>1101</v>
      </c>
      <c r="B3" s="37" t="s">
        <v>2</v>
      </c>
      <c r="C3" s="37" t="str">
        <f>'Translate&amp;Prices&amp;Logo'!B553</f>
        <v>Overlay</v>
      </c>
      <c r="D3" s="32" t="str">
        <f t="shared" ref="D3:D66" si="0">VLOOKUP(CONCATENATE(A3,"_",B3,"_",C3),$A$69:$B$383,2,0)</f>
        <v>úzký_BLUM_Naložený</v>
      </c>
      <c r="E3" s="37" t="str">
        <f>'Translate&amp;Prices&amp;Logo'!$B$583</f>
        <v>without damping</v>
      </c>
      <c r="F3" s="34" t="str">
        <f>'Translate&amp;Prices&amp;Logo'!$B$585</f>
        <v>silver</v>
      </c>
      <c r="G3" s="34" t="str">
        <f t="shared" ref="G3:G20" si="1">CONCATENATE(H3," ","-"," ",C3," ",E3," - ",F3)</f>
        <v>12106 - Overlay without damping - silver</v>
      </c>
      <c r="H3" s="35">
        <v>12106</v>
      </c>
      <c r="I3" s="35" t="s">
        <v>1103</v>
      </c>
      <c r="J3" s="35" t="s">
        <v>1103</v>
      </c>
      <c r="K3" s="35">
        <v>12306</v>
      </c>
      <c r="L3" s="35" t="str">
        <f t="shared" ref="L3:L66" si="2">CONCATENATE($K$1," - ",K3)</f>
        <v>cross screw - 12306</v>
      </c>
      <c r="M3" s="35" t="s">
        <v>2122</v>
      </c>
      <c r="N3" s="35" t="str">
        <f t="shared" ref="N3:N66" si="3">CONCATENATE($M$1," - ",M3)</f>
        <v>on screw (w/ cam adjust) - N/A</v>
      </c>
      <c r="O3" s="35">
        <v>12318</v>
      </c>
      <c r="P3" s="35" t="str">
        <f t="shared" ref="P3:P66" si="4">CONCATENATE($O$1," - ",O3)</f>
        <v>euroscrew - 12318</v>
      </c>
      <c r="Q3" s="35">
        <v>12302</v>
      </c>
      <c r="R3" s="35" t="str">
        <f t="shared" ref="R3:R66" si="5">CONCATENATE($Q$1," - ",Q3)</f>
        <v>expando - 12302</v>
      </c>
      <c r="S3" s="35">
        <v>203387</v>
      </c>
      <c r="T3" s="35" t="str">
        <f t="shared" ref="T3:T66" si="6">CONCATENATE($S$1," - ",S3)</f>
        <v>direct screw - 203387</v>
      </c>
      <c r="U3" s="35">
        <v>346624</v>
      </c>
      <c r="V3" s="35" t="str">
        <f t="shared" ref="V3:V66" si="7">CONCATENATE($U$1," - ",U3)</f>
        <v>direct euroscrew - 346624</v>
      </c>
      <c r="W3" s="35">
        <v>211476</v>
      </c>
      <c r="X3" s="35" t="str">
        <f t="shared" ref="X3:X66" si="8">CONCATENATE($W$1," - ",W3)</f>
        <v>direct expando - 211476</v>
      </c>
      <c r="Y3" s="34"/>
      <c r="Z3" s="34"/>
      <c r="AC3" s="33" t="str">
        <f>$O$1</f>
        <v>euroscrew</v>
      </c>
      <c r="AD3" s="159">
        <v>10</v>
      </c>
      <c r="AE3" s="32" t="e">
        <f>VLOOKUP(Ram_1!$H$15,$G:$X,AD3,0)</f>
        <v>#N/A</v>
      </c>
    </row>
    <row r="4" spans="1:31" ht="16.350000000000001" customHeight="1">
      <c r="A4" s="37" t="s">
        <v>1101</v>
      </c>
      <c r="B4" s="37" t="s">
        <v>2</v>
      </c>
      <c r="C4" s="37" t="str">
        <f>'Translate&amp;Prices&amp;Logo'!B553</f>
        <v>Overlay</v>
      </c>
      <c r="D4" s="32" t="str">
        <f t="shared" si="0"/>
        <v>úzký_BLUM_Naložený</v>
      </c>
      <c r="E4" s="37" t="str">
        <f>'Translate&amp;Prices&amp;Logo'!$B$583</f>
        <v>without damping</v>
      </c>
      <c r="F4" s="34" t="s">
        <v>2569</v>
      </c>
      <c r="G4" s="34" t="str">
        <f t="shared" si="1"/>
        <v>306329 - Overlay without damping - onyx</v>
      </c>
      <c r="H4" s="35">
        <v>306329</v>
      </c>
      <c r="I4" s="35" t="s">
        <v>1103</v>
      </c>
      <c r="J4" s="35" t="s">
        <v>1103</v>
      </c>
      <c r="K4" s="35">
        <v>458360</v>
      </c>
      <c r="L4" s="35" t="str">
        <f t="shared" si="2"/>
        <v>cross screw - 458360</v>
      </c>
      <c r="M4" s="35" t="s">
        <v>2122</v>
      </c>
      <c r="N4" s="35" t="str">
        <f t="shared" si="3"/>
        <v>on screw (w/ cam adjust) - N/A</v>
      </c>
      <c r="O4" s="35" t="s">
        <v>2122</v>
      </c>
      <c r="P4" s="35" t="str">
        <f t="shared" si="4"/>
        <v>euroscrew - N/A</v>
      </c>
      <c r="Q4" s="35">
        <v>347124</v>
      </c>
      <c r="R4" s="35" t="str">
        <f t="shared" si="5"/>
        <v>expando - 347124</v>
      </c>
      <c r="S4" s="35">
        <v>306320</v>
      </c>
      <c r="T4" s="35" t="str">
        <f t="shared" si="6"/>
        <v>direct screw - 306320</v>
      </c>
      <c r="U4" s="35" t="s">
        <v>2122</v>
      </c>
      <c r="V4" s="35" t="str">
        <f t="shared" si="7"/>
        <v>direct euroscrew - N/A</v>
      </c>
      <c r="W4" s="35">
        <v>409651</v>
      </c>
      <c r="X4" s="35" t="str">
        <f t="shared" si="8"/>
        <v>direct expando - 409651</v>
      </c>
      <c r="Y4" s="34"/>
      <c r="Z4" s="34"/>
      <c r="AC4" s="33" t="str">
        <f>$Q$1</f>
        <v>expando</v>
      </c>
      <c r="AD4" s="34">
        <v>12</v>
      </c>
      <c r="AE4" s="32" t="e">
        <f>VLOOKUP(Ram_1!$H$15,$G:$X,AD4,0)</f>
        <v>#N/A</v>
      </c>
    </row>
    <row r="5" spans="1:31" ht="16.350000000000001" customHeight="1">
      <c r="A5" s="37" t="s">
        <v>1101</v>
      </c>
      <c r="B5" s="37" t="s">
        <v>2</v>
      </c>
      <c r="C5" s="37" t="str">
        <f>'Translate&amp;Prices&amp;Logo'!B553</f>
        <v>Overlay</v>
      </c>
      <c r="D5" s="32" t="str">
        <f t="shared" si="0"/>
        <v>úzký_BLUM_Naložený</v>
      </c>
      <c r="E5" s="37" t="str">
        <f>'Translate&amp;Prices&amp;Logo'!$B$584</f>
        <v>tip-on without spring / damping</v>
      </c>
      <c r="F5" s="34" t="str">
        <f>'Translate&amp;Prices&amp;Logo'!$B$585</f>
        <v>silver</v>
      </c>
      <c r="G5" s="34" t="str">
        <f t="shared" si="1"/>
        <v>12109 - Overlay tip-on without spring / damping - silver</v>
      </c>
      <c r="H5" s="35">
        <v>12109</v>
      </c>
      <c r="I5" s="35" t="s">
        <v>1103</v>
      </c>
      <c r="J5" s="35">
        <v>13764</v>
      </c>
      <c r="K5" s="35">
        <v>12306</v>
      </c>
      <c r="L5" s="35" t="str">
        <f t="shared" si="2"/>
        <v>cross screw - 12306</v>
      </c>
      <c r="M5" s="35" t="s">
        <v>2122</v>
      </c>
      <c r="N5" s="35" t="str">
        <f t="shared" si="3"/>
        <v>on screw (w/ cam adjust) - N/A</v>
      </c>
      <c r="O5" s="35">
        <v>12318</v>
      </c>
      <c r="P5" s="35" t="str">
        <f t="shared" si="4"/>
        <v>euroscrew - 12318</v>
      </c>
      <c r="Q5" s="35">
        <v>12302</v>
      </c>
      <c r="R5" s="35" t="str">
        <f t="shared" si="5"/>
        <v>expando - 12302</v>
      </c>
      <c r="S5" s="35">
        <v>203387</v>
      </c>
      <c r="T5" s="35" t="str">
        <f t="shared" si="6"/>
        <v>direct screw - 203387</v>
      </c>
      <c r="U5" s="35">
        <v>346624</v>
      </c>
      <c r="V5" s="35" t="str">
        <f t="shared" si="7"/>
        <v>direct euroscrew - 346624</v>
      </c>
      <c r="W5" s="35">
        <v>211476</v>
      </c>
      <c r="X5" s="35" t="str">
        <f t="shared" si="8"/>
        <v>direct expando - 211476</v>
      </c>
      <c r="Y5" s="34"/>
      <c r="Z5" s="34"/>
      <c r="AC5" s="33" t="str">
        <f>$S$1</f>
        <v>direct screw</v>
      </c>
      <c r="AD5" s="159">
        <v>14</v>
      </c>
      <c r="AE5" s="32" t="e">
        <f>VLOOKUP(Ram_1!$H$15,$G:$X,AD5,0)</f>
        <v>#N/A</v>
      </c>
    </row>
    <row r="6" spans="1:31" ht="16.350000000000001" customHeight="1">
      <c r="A6" s="37" t="s">
        <v>1101</v>
      </c>
      <c r="B6" s="37" t="s">
        <v>2</v>
      </c>
      <c r="C6" s="37" t="str">
        <f>'Translate&amp;Prices&amp;Logo'!B553</f>
        <v>Overlay</v>
      </c>
      <c r="D6" s="32" t="str">
        <f t="shared" ref="D6" si="9">VLOOKUP(CONCATENATE(A6,"_",B6,"_",C6),$A$69:$B$383,2,0)</f>
        <v>úzký_BLUM_Naložený</v>
      </c>
      <c r="E6" s="37" t="str">
        <f>'Translate&amp;Prices&amp;Logo'!$B$584</f>
        <v>tip-on without spring / damping</v>
      </c>
      <c r="F6" s="34" t="s">
        <v>2569</v>
      </c>
      <c r="G6" s="34" t="str">
        <f t="shared" si="1"/>
        <v>497120 - Overlay tip-on without spring / damping - onyx</v>
      </c>
      <c r="H6" s="35">
        <v>497120</v>
      </c>
      <c r="Q6" s="35">
        <v>347124</v>
      </c>
      <c r="R6" s="35" t="str">
        <f t="shared" si="5"/>
        <v>expando - 347124</v>
      </c>
      <c r="S6" s="35">
        <v>306320</v>
      </c>
      <c r="T6" s="35" t="str">
        <f>CONCATENATE($S$1," - ",S6)</f>
        <v>direct screw - 306320</v>
      </c>
      <c r="X6" s="35"/>
      <c r="Y6" s="34"/>
      <c r="Z6" s="34"/>
      <c r="AC6" s="33"/>
      <c r="AD6" s="159"/>
      <c r="AE6" s="32"/>
    </row>
    <row r="7" spans="1:31" ht="16.350000000000001" customHeight="1">
      <c r="A7" s="34" t="s">
        <v>1101</v>
      </c>
      <c r="B7" s="34" t="s">
        <v>2</v>
      </c>
      <c r="C7" s="34" t="str">
        <f>'Translate&amp;Prices&amp;Logo'!B554</f>
        <v>Half-overlay</v>
      </c>
      <c r="D7" s="32" t="str">
        <f t="shared" si="0"/>
        <v>úzký_BLUM_Polonaložený</v>
      </c>
      <c r="E7" s="34" t="str">
        <f>'Translate&amp;Prices&amp;Logo'!$B$582</f>
        <v>with spring and damping</v>
      </c>
      <c r="F7" s="34" t="str">
        <f>'Translate&amp;Prices&amp;Logo'!$B$585</f>
        <v>silver</v>
      </c>
      <c r="G7" s="34" t="str">
        <f t="shared" si="1"/>
        <v>118120 - Half-overlay with spring and damping - silver</v>
      </c>
      <c r="H7" s="35">
        <v>118120</v>
      </c>
      <c r="I7" s="35" t="s">
        <v>1103</v>
      </c>
      <c r="J7" s="35" t="s">
        <v>1103</v>
      </c>
      <c r="K7" s="35">
        <v>12306</v>
      </c>
      <c r="L7" s="35" t="str">
        <f t="shared" si="2"/>
        <v>cross screw - 12306</v>
      </c>
      <c r="M7" s="35" t="s">
        <v>2122</v>
      </c>
      <c r="N7" s="35" t="str">
        <f t="shared" si="3"/>
        <v>on screw (w/ cam adjust) - N/A</v>
      </c>
      <c r="O7" s="35">
        <v>12318</v>
      </c>
      <c r="P7" s="35" t="str">
        <f t="shared" si="4"/>
        <v>euroscrew - 12318</v>
      </c>
      <c r="Q7" s="35">
        <v>12302</v>
      </c>
      <c r="R7" s="35" t="str">
        <f t="shared" si="5"/>
        <v>expando - 12302</v>
      </c>
      <c r="S7" s="35">
        <v>203387</v>
      </c>
      <c r="T7" s="35" t="str">
        <f t="shared" si="6"/>
        <v>direct screw - 203387</v>
      </c>
      <c r="U7" s="35">
        <v>346624</v>
      </c>
      <c r="V7" s="35" t="str">
        <f t="shared" si="7"/>
        <v>direct euroscrew - 346624</v>
      </c>
      <c r="W7" s="35">
        <v>211476</v>
      </c>
      <c r="X7" s="35" t="str">
        <f t="shared" si="8"/>
        <v>direct expando - 211476</v>
      </c>
      <c r="Y7" s="34"/>
      <c r="Z7" s="34"/>
      <c r="AC7" s="33" t="str">
        <f>$U$1</f>
        <v>direct euroscrew</v>
      </c>
      <c r="AD7" s="34">
        <v>16</v>
      </c>
      <c r="AE7" s="32" t="e">
        <f>VLOOKUP(Ram_1!$H$15,$G:$X,AD7,0)</f>
        <v>#N/A</v>
      </c>
    </row>
    <row r="8" spans="1:31" ht="16.350000000000001" customHeight="1">
      <c r="A8" s="34" t="s">
        <v>1101</v>
      </c>
      <c r="B8" s="34" t="s">
        <v>2</v>
      </c>
      <c r="C8" s="34" t="str">
        <f>'Translate&amp;Prices&amp;Logo'!B554</f>
        <v>Half-overlay</v>
      </c>
      <c r="D8" s="32" t="str">
        <f t="shared" si="0"/>
        <v>úzký_BLUM_Polonaložený</v>
      </c>
      <c r="E8" s="34" t="str">
        <f>'Translate&amp;Prices&amp;Logo'!$B$583</f>
        <v>without damping</v>
      </c>
      <c r="F8" s="34" t="str">
        <f>'Translate&amp;Prices&amp;Logo'!$B$585</f>
        <v>silver</v>
      </c>
      <c r="G8" s="34" t="str">
        <f t="shared" si="1"/>
        <v>12107 - Half-overlay without damping - silver</v>
      </c>
      <c r="H8" s="35">
        <v>12107</v>
      </c>
      <c r="I8" s="35" t="s">
        <v>1103</v>
      </c>
      <c r="J8" s="35" t="s">
        <v>1103</v>
      </c>
      <c r="K8" s="35">
        <v>12306</v>
      </c>
      <c r="L8" s="35" t="str">
        <f t="shared" si="2"/>
        <v>cross screw - 12306</v>
      </c>
      <c r="M8" s="35" t="s">
        <v>2122</v>
      </c>
      <c r="N8" s="35" t="str">
        <f t="shared" si="3"/>
        <v>on screw (w/ cam adjust) - N/A</v>
      </c>
      <c r="O8" s="35">
        <v>12318</v>
      </c>
      <c r="P8" s="35" t="str">
        <f t="shared" si="4"/>
        <v>euroscrew - 12318</v>
      </c>
      <c r="Q8" s="35">
        <v>12302</v>
      </c>
      <c r="R8" s="35" t="str">
        <f t="shared" si="5"/>
        <v>expando - 12302</v>
      </c>
      <c r="S8" s="35">
        <v>203387</v>
      </c>
      <c r="T8" s="35" t="str">
        <f t="shared" si="6"/>
        <v>direct screw - 203387</v>
      </c>
      <c r="U8" s="35">
        <v>346624</v>
      </c>
      <c r="V8" s="35" t="str">
        <f t="shared" si="7"/>
        <v>direct euroscrew - 346624</v>
      </c>
      <c r="W8" s="35">
        <v>211476</v>
      </c>
      <c r="X8" s="35" t="str">
        <f t="shared" si="8"/>
        <v>direct expando - 211476</v>
      </c>
      <c r="Y8" s="34"/>
      <c r="Z8" s="34"/>
      <c r="AC8" s="33" t="str">
        <f>$W$1</f>
        <v>direct expando</v>
      </c>
      <c r="AD8" s="159">
        <v>18</v>
      </c>
      <c r="AE8" s="32" t="e">
        <f>VLOOKUP(Ram_1!$H$15,$G:$X,AD8,0)</f>
        <v>#N/A</v>
      </c>
    </row>
    <row r="9" spans="1:31" ht="16.350000000000001" customHeight="1">
      <c r="A9" s="37" t="s">
        <v>1101</v>
      </c>
      <c r="B9" s="37" t="s">
        <v>2</v>
      </c>
      <c r="C9" s="37" t="str">
        <f>'Translate&amp;Prices&amp;Logo'!B555</f>
        <v>Inset</v>
      </c>
      <c r="D9" s="32" t="str">
        <f t="shared" si="0"/>
        <v>úzký_BLUM_Vložený</v>
      </c>
      <c r="E9" s="37" t="str">
        <f>'Translate&amp;Prices&amp;Logo'!$B$582</f>
        <v>with spring and damping</v>
      </c>
      <c r="F9" s="34" t="str">
        <f>'Translate&amp;Prices&amp;Logo'!$B$585</f>
        <v>silver</v>
      </c>
      <c r="G9" s="34" t="str">
        <f t="shared" si="1"/>
        <v>118121 - Inset with spring and damping - silver</v>
      </c>
      <c r="H9" s="35">
        <v>118121</v>
      </c>
      <c r="I9" s="35" t="s">
        <v>1103</v>
      </c>
      <c r="J9" s="35" t="s">
        <v>1103</v>
      </c>
      <c r="K9" s="35">
        <v>12306</v>
      </c>
      <c r="L9" s="35" t="str">
        <f t="shared" si="2"/>
        <v>cross screw - 12306</v>
      </c>
      <c r="M9" s="35" t="s">
        <v>2122</v>
      </c>
      <c r="N9" s="35" t="str">
        <f t="shared" si="3"/>
        <v>on screw (w/ cam adjust) - N/A</v>
      </c>
      <c r="O9" s="35">
        <v>12318</v>
      </c>
      <c r="P9" s="35" t="str">
        <f t="shared" si="4"/>
        <v>euroscrew - 12318</v>
      </c>
      <c r="Q9" s="35">
        <v>12302</v>
      </c>
      <c r="R9" s="35" t="str">
        <f t="shared" si="5"/>
        <v>expando - 12302</v>
      </c>
      <c r="S9" s="35">
        <v>203387</v>
      </c>
      <c r="T9" s="35" t="str">
        <f t="shared" si="6"/>
        <v>direct screw - 203387</v>
      </c>
      <c r="U9" s="35">
        <v>346624</v>
      </c>
      <c r="V9" s="35" t="str">
        <f t="shared" si="7"/>
        <v>direct euroscrew - 346624</v>
      </c>
      <c r="W9" s="35">
        <v>211476</v>
      </c>
      <c r="X9" s="35" t="str">
        <f t="shared" si="8"/>
        <v>direct expando - 211476</v>
      </c>
      <c r="Y9" s="34"/>
      <c r="Z9" s="34"/>
    </row>
    <row r="10" spans="1:31" ht="15">
      <c r="A10" s="37" t="s">
        <v>1101</v>
      </c>
      <c r="B10" s="37" t="s">
        <v>2</v>
      </c>
      <c r="C10" s="37" t="str">
        <f>'Translate&amp;Prices&amp;Logo'!B555</f>
        <v>Inset</v>
      </c>
      <c r="D10" s="32" t="str">
        <f t="shared" si="0"/>
        <v>úzký_BLUM_Vložený</v>
      </c>
      <c r="E10" s="37" t="str">
        <f>'Translate&amp;Prices&amp;Logo'!$B$583</f>
        <v>without damping</v>
      </c>
      <c r="F10" s="34" t="str">
        <f>'Translate&amp;Prices&amp;Logo'!$B$585</f>
        <v>silver</v>
      </c>
      <c r="G10" s="34" t="str">
        <f t="shared" si="1"/>
        <v>12108 - Inset without damping - silver</v>
      </c>
      <c r="H10" s="35">
        <v>12108</v>
      </c>
      <c r="I10" s="35" t="s">
        <v>1103</v>
      </c>
      <c r="J10" s="35" t="s">
        <v>1103</v>
      </c>
      <c r="K10" s="35">
        <v>12306</v>
      </c>
      <c r="L10" s="35" t="str">
        <f t="shared" si="2"/>
        <v>cross screw - 12306</v>
      </c>
      <c r="M10" s="35" t="s">
        <v>2122</v>
      </c>
      <c r="N10" s="35" t="str">
        <f t="shared" si="3"/>
        <v>on screw (w/ cam adjust) - N/A</v>
      </c>
      <c r="O10" s="35">
        <v>12318</v>
      </c>
      <c r="P10" s="35" t="str">
        <f t="shared" si="4"/>
        <v>euroscrew - 12318</v>
      </c>
      <c r="Q10" s="35">
        <v>12302</v>
      </c>
      <c r="R10" s="35" t="str">
        <f t="shared" si="5"/>
        <v>expando - 12302</v>
      </c>
      <c r="S10" s="35">
        <v>203387</v>
      </c>
      <c r="T10" s="35" t="str">
        <f t="shared" si="6"/>
        <v>direct screw - 203387</v>
      </c>
      <c r="U10" s="35">
        <v>346624</v>
      </c>
      <c r="V10" s="35" t="str">
        <f t="shared" si="7"/>
        <v>direct euroscrew - 346624</v>
      </c>
      <c r="W10" s="35">
        <v>211476</v>
      </c>
      <c r="X10" s="35" t="str">
        <f t="shared" si="8"/>
        <v>direct expando - 211476</v>
      </c>
      <c r="Y10" s="34"/>
      <c r="Z10" s="34"/>
    </row>
    <row r="11" spans="1:31" ht="15">
      <c r="A11" s="34" t="s">
        <v>1101</v>
      </c>
      <c r="B11" s="34" t="s">
        <v>567</v>
      </c>
      <c r="C11" s="34" t="str">
        <f>'Translate&amp;Prices&amp;Logo'!B553</f>
        <v>Overlay</v>
      </c>
      <c r="D11" s="32" t="str">
        <f t="shared" si="0"/>
        <v>úzký_HETTICH_Naložený</v>
      </c>
      <c r="E11" s="34" t="str">
        <f>'Translate&amp;Prices&amp;Logo'!$B$582</f>
        <v>with spring and damping</v>
      </c>
      <c r="F11" s="34" t="str">
        <f>'Translate&amp;Prices&amp;Logo'!$B$585</f>
        <v>silver</v>
      </c>
      <c r="G11" s="34" t="str">
        <f t="shared" si="1"/>
        <v>300279 - Overlay with spring and damping - silver</v>
      </c>
      <c r="H11" s="35">
        <v>300279</v>
      </c>
      <c r="I11" s="35" t="s">
        <v>1103</v>
      </c>
      <c r="J11" s="35" t="s">
        <v>1103</v>
      </c>
      <c r="K11" s="35">
        <v>106403</v>
      </c>
      <c r="L11" s="35" t="str">
        <f t="shared" si="2"/>
        <v>cross screw - 106403</v>
      </c>
      <c r="M11" s="35" t="s">
        <v>2122</v>
      </c>
      <c r="N11" s="35" t="str">
        <f t="shared" si="3"/>
        <v>on screw (w/ cam adjust) - N/A</v>
      </c>
      <c r="O11" s="35">
        <v>119240</v>
      </c>
      <c r="P11" s="35" t="str">
        <f t="shared" si="4"/>
        <v>euroscrew - 119240</v>
      </c>
      <c r="Q11" s="35">
        <v>136276</v>
      </c>
      <c r="R11" s="35" t="str">
        <f t="shared" si="5"/>
        <v>expando - 136276</v>
      </c>
      <c r="S11" s="35">
        <v>300319</v>
      </c>
      <c r="T11" s="35" t="str">
        <f t="shared" si="6"/>
        <v>direct screw - 300319</v>
      </c>
      <c r="U11" s="35" t="s">
        <v>2122</v>
      </c>
      <c r="V11" s="35" t="str">
        <f t="shared" si="7"/>
        <v>direct euroscrew - N/A</v>
      </c>
      <c r="W11" s="35" t="s">
        <v>2122</v>
      </c>
      <c r="X11" s="35" t="str">
        <f t="shared" si="8"/>
        <v>direct expando - N/A</v>
      </c>
      <c r="Y11" s="34"/>
      <c r="Z11" s="34"/>
    </row>
    <row r="12" spans="1:31" ht="15">
      <c r="A12" s="34" t="s">
        <v>1101</v>
      </c>
      <c r="B12" s="34" t="s">
        <v>567</v>
      </c>
      <c r="C12" s="34" t="str">
        <f>'Translate&amp;Prices&amp;Logo'!B553</f>
        <v>Overlay</v>
      </c>
      <c r="D12" s="32" t="str">
        <f t="shared" si="0"/>
        <v>úzký_HETTICH_Naložený</v>
      </c>
      <c r="E12" s="34" t="str">
        <f>'Translate&amp;Prices&amp;Logo'!$B$582</f>
        <v>with spring and damping</v>
      </c>
      <c r="F12" s="34" t="str">
        <f>'Translate&amp;Prices&amp;Logo'!$B$586</f>
        <v>black</v>
      </c>
      <c r="G12" s="34" t="str">
        <f t="shared" si="1"/>
        <v>344697 - Overlay with spring and damping - black</v>
      </c>
      <c r="H12" s="35">
        <v>344697</v>
      </c>
      <c r="I12" s="35" t="s">
        <v>1103</v>
      </c>
      <c r="J12" s="35" t="s">
        <v>1103</v>
      </c>
      <c r="K12" s="35" t="s">
        <v>2122</v>
      </c>
      <c r="L12" s="35" t="str">
        <f t="shared" si="2"/>
        <v>cross screw - N/A</v>
      </c>
      <c r="M12" s="35" t="s">
        <v>2122</v>
      </c>
      <c r="N12" s="35" t="str">
        <f t="shared" si="3"/>
        <v>on screw (w/ cam adjust) - N/A</v>
      </c>
      <c r="O12" s="35">
        <v>344723</v>
      </c>
      <c r="P12" s="35" t="str">
        <f t="shared" si="4"/>
        <v>euroscrew - 344723</v>
      </c>
      <c r="Q12" s="35">
        <v>344727</v>
      </c>
      <c r="R12" s="35" t="str">
        <f t="shared" si="5"/>
        <v>expando - 344727</v>
      </c>
      <c r="S12" s="35">
        <v>397949</v>
      </c>
      <c r="T12" s="35" t="str">
        <f t="shared" si="6"/>
        <v>direct screw - 397949</v>
      </c>
      <c r="U12" s="35" t="s">
        <v>2122</v>
      </c>
      <c r="V12" s="35" t="str">
        <f t="shared" si="7"/>
        <v>direct euroscrew - N/A</v>
      </c>
      <c r="W12" s="35" t="s">
        <v>2122</v>
      </c>
      <c r="X12" s="35" t="str">
        <f t="shared" si="8"/>
        <v>direct expando - N/A</v>
      </c>
      <c r="Y12" s="34"/>
      <c r="Z12" s="34"/>
    </row>
    <row r="13" spans="1:31" ht="15">
      <c r="A13" s="34" t="s">
        <v>1101</v>
      </c>
      <c r="B13" s="34" t="s">
        <v>567</v>
      </c>
      <c r="C13" s="34" t="str">
        <f>'Translate&amp;Prices&amp;Logo'!B553</f>
        <v>Overlay</v>
      </c>
      <c r="D13" s="32" t="str">
        <f t="shared" si="0"/>
        <v>úzký_HETTICH_Naložený</v>
      </c>
      <c r="E13" s="34" t="str">
        <f>'Translate&amp;Prices&amp;Logo'!$B$583</f>
        <v>without damping</v>
      </c>
      <c r="F13" s="34" t="str">
        <f>'Translate&amp;Prices&amp;Logo'!$B$585</f>
        <v>silver</v>
      </c>
      <c r="G13" s="34" t="str">
        <f t="shared" si="1"/>
        <v>300282 - Overlay without damping - silver</v>
      </c>
      <c r="H13" s="35">
        <v>300282</v>
      </c>
      <c r="I13" s="35" t="s">
        <v>1103</v>
      </c>
      <c r="J13" s="35" t="s">
        <v>1103</v>
      </c>
      <c r="K13" s="35">
        <v>106403</v>
      </c>
      <c r="L13" s="35" t="str">
        <f t="shared" si="2"/>
        <v>cross screw - 106403</v>
      </c>
      <c r="M13" s="35" t="s">
        <v>2122</v>
      </c>
      <c r="N13" s="35" t="str">
        <f t="shared" si="3"/>
        <v>on screw (w/ cam adjust) - N/A</v>
      </c>
      <c r="O13" s="35">
        <v>119240</v>
      </c>
      <c r="P13" s="35" t="str">
        <f t="shared" si="4"/>
        <v>euroscrew - 119240</v>
      </c>
      <c r="Q13" s="35">
        <v>136276</v>
      </c>
      <c r="R13" s="35" t="str">
        <f t="shared" si="5"/>
        <v>expando - 136276</v>
      </c>
      <c r="S13" s="35">
        <v>300319</v>
      </c>
      <c r="T13" s="35" t="str">
        <f t="shared" si="6"/>
        <v>direct screw - 300319</v>
      </c>
      <c r="U13" s="35" t="s">
        <v>2122</v>
      </c>
      <c r="V13" s="35" t="str">
        <f t="shared" si="7"/>
        <v>direct euroscrew - N/A</v>
      </c>
      <c r="W13" s="35" t="s">
        <v>2122</v>
      </c>
      <c r="X13" s="35" t="str">
        <f t="shared" si="8"/>
        <v>direct expando - N/A</v>
      </c>
      <c r="Y13" s="34"/>
      <c r="Z13" s="34"/>
    </row>
    <row r="14" spans="1:31" ht="15">
      <c r="A14" s="34" t="s">
        <v>1101</v>
      </c>
      <c r="B14" s="34" t="s">
        <v>567</v>
      </c>
      <c r="C14" s="34" t="str">
        <f>'Translate&amp;Prices&amp;Logo'!B553</f>
        <v>Overlay</v>
      </c>
      <c r="D14" s="32" t="str">
        <f t="shared" si="0"/>
        <v>úzký_HETTICH_Naložený</v>
      </c>
      <c r="E14" s="34" t="str">
        <f>'Translate&amp;Prices&amp;Logo'!$B$584</f>
        <v>tip-on without spring / damping</v>
      </c>
      <c r="F14" s="34" t="str">
        <f>'Translate&amp;Prices&amp;Logo'!$B$585</f>
        <v>silver</v>
      </c>
      <c r="G14" s="34" t="str">
        <f t="shared" si="1"/>
        <v>300285 - Overlay tip-on without spring / damping - silver</v>
      </c>
      <c r="H14" s="35">
        <v>300285</v>
      </c>
      <c r="I14" s="35" t="s">
        <v>1103</v>
      </c>
      <c r="J14" s="35" t="s">
        <v>1103</v>
      </c>
      <c r="K14" s="35">
        <v>106403</v>
      </c>
      <c r="L14" s="35" t="str">
        <f t="shared" si="2"/>
        <v>cross screw - 106403</v>
      </c>
      <c r="M14" s="35" t="s">
        <v>2122</v>
      </c>
      <c r="N14" s="35" t="str">
        <f t="shared" si="3"/>
        <v>on screw (w/ cam adjust) - N/A</v>
      </c>
      <c r="O14" s="35">
        <v>119240</v>
      </c>
      <c r="P14" s="35" t="str">
        <f t="shared" si="4"/>
        <v>euroscrew - 119240</v>
      </c>
      <c r="Q14" s="35">
        <v>136276</v>
      </c>
      <c r="R14" s="35" t="str">
        <f t="shared" si="5"/>
        <v>expando - 136276</v>
      </c>
      <c r="S14" s="35">
        <v>300319</v>
      </c>
      <c r="T14" s="35" t="str">
        <f t="shared" si="6"/>
        <v>direct screw - 300319</v>
      </c>
      <c r="U14" s="35" t="s">
        <v>2122</v>
      </c>
      <c r="V14" s="35" t="str">
        <f t="shared" si="7"/>
        <v>direct euroscrew - N/A</v>
      </c>
      <c r="W14" s="35" t="s">
        <v>2122</v>
      </c>
      <c r="X14" s="35" t="str">
        <f t="shared" si="8"/>
        <v>direct expando - N/A</v>
      </c>
      <c r="Y14" s="34"/>
      <c r="Z14" s="34"/>
    </row>
    <row r="15" spans="1:31" ht="15">
      <c r="A15" s="37" t="s">
        <v>1101</v>
      </c>
      <c r="B15" s="37" t="s">
        <v>567</v>
      </c>
      <c r="C15" s="37" t="str">
        <f>'Translate&amp;Prices&amp;Logo'!B554</f>
        <v>Half-overlay</v>
      </c>
      <c r="D15" s="32" t="str">
        <f t="shared" si="0"/>
        <v>úzký_HETTICH_Polonaložený</v>
      </c>
      <c r="E15" s="37" t="str">
        <f>'Translate&amp;Prices&amp;Logo'!$B$582</f>
        <v>with spring and damping</v>
      </c>
      <c r="F15" s="34" t="str">
        <f>'Translate&amp;Prices&amp;Logo'!$B$585</f>
        <v>silver</v>
      </c>
      <c r="G15" s="34" t="str">
        <f t="shared" si="1"/>
        <v>300280 - Half-overlay with spring and damping - silver</v>
      </c>
      <c r="H15" s="35">
        <v>300280</v>
      </c>
      <c r="I15" s="35" t="s">
        <v>1103</v>
      </c>
      <c r="J15" s="35" t="s">
        <v>1103</v>
      </c>
      <c r="K15" s="35">
        <v>106403</v>
      </c>
      <c r="L15" s="35" t="str">
        <f t="shared" si="2"/>
        <v>cross screw - 106403</v>
      </c>
      <c r="M15" s="35" t="s">
        <v>2122</v>
      </c>
      <c r="N15" s="35" t="str">
        <f t="shared" si="3"/>
        <v>on screw (w/ cam adjust) - N/A</v>
      </c>
      <c r="O15" s="35">
        <v>119240</v>
      </c>
      <c r="P15" s="35" t="str">
        <f t="shared" si="4"/>
        <v>euroscrew - 119240</v>
      </c>
      <c r="Q15" s="35">
        <v>136276</v>
      </c>
      <c r="R15" s="35" t="str">
        <f t="shared" si="5"/>
        <v>expando - 136276</v>
      </c>
      <c r="S15" s="35">
        <v>300319</v>
      </c>
      <c r="T15" s="35" t="str">
        <f t="shared" si="6"/>
        <v>direct screw - 300319</v>
      </c>
      <c r="U15" s="35" t="s">
        <v>2122</v>
      </c>
      <c r="V15" s="35" t="str">
        <f t="shared" si="7"/>
        <v>direct euroscrew - N/A</v>
      </c>
      <c r="W15" s="35" t="s">
        <v>2122</v>
      </c>
      <c r="X15" s="35" t="str">
        <f t="shared" si="8"/>
        <v>direct expando - N/A</v>
      </c>
      <c r="Y15" s="34"/>
      <c r="Z15" s="34"/>
    </row>
    <row r="16" spans="1:31" ht="15">
      <c r="A16" s="37" t="s">
        <v>1101</v>
      </c>
      <c r="B16" s="37" t="s">
        <v>567</v>
      </c>
      <c r="C16" s="37" t="str">
        <f>'Translate&amp;Prices&amp;Logo'!B554</f>
        <v>Half-overlay</v>
      </c>
      <c r="D16" s="32" t="str">
        <f t="shared" si="0"/>
        <v>úzký_HETTICH_Polonaložený</v>
      </c>
      <c r="E16" s="37" t="str">
        <f>'Translate&amp;Prices&amp;Logo'!$B$583</f>
        <v>without damping</v>
      </c>
      <c r="F16" s="34" t="str">
        <f>'Translate&amp;Prices&amp;Logo'!$B$585</f>
        <v>silver</v>
      </c>
      <c r="G16" s="34" t="str">
        <f t="shared" si="1"/>
        <v>300283 - Half-overlay without damping - silver</v>
      </c>
      <c r="H16" s="35">
        <v>300283</v>
      </c>
      <c r="I16" s="35" t="s">
        <v>1103</v>
      </c>
      <c r="J16" s="35" t="s">
        <v>1103</v>
      </c>
      <c r="K16" s="35">
        <v>106403</v>
      </c>
      <c r="L16" s="35" t="str">
        <f t="shared" si="2"/>
        <v>cross screw - 106403</v>
      </c>
      <c r="M16" s="35" t="s">
        <v>2122</v>
      </c>
      <c r="N16" s="35" t="str">
        <f t="shared" si="3"/>
        <v>on screw (w/ cam adjust) - N/A</v>
      </c>
      <c r="O16" s="35">
        <v>119240</v>
      </c>
      <c r="P16" s="35" t="str">
        <f t="shared" si="4"/>
        <v>euroscrew - 119240</v>
      </c>
      <c r="Q16" s="35">
        <v>136276</v>
      </c>
      <c r="R16" s="35" t="str">
        <f t="shared" si="5"/>
        <v>expando - 136276</v>
      </c>
      <c r="S16" s="35">
        <v>300319</v>
      </c>
      <c r="T16" s="35" t="str">
        <f t="shared" si="6"/>
        <v>direct screw - 300319</v>
      </c>
      <c r="U16" s="35" t="s">
        <v>2122</v>
      </c>
      <c r="V16" s="35" t="str">
        <f t="shared" si="7"/>
        <v>direct euroscrew - N/A</v>
      </c>
      <c r="W16" s="35" t="s">
        <v>2122</v>
      </c>
      <c r="X16" s="35" t="str">
        <f t="shared" si="8"/>
        <v>direct expando - N/A</v>
      </c>
      <c r="Y16" s="34"/>
      <c r="Z16" s="34"/>
    </row>
    <row r="17" spans="1:26" ht="15">
      <c r="A17" s="37" t="s">
        <v>1101</v>
      </c>
      <c r="B17" s="37" t="s">
        <v>567</v>
      </c>
      <c r="C17" s="37" t="str">
        <f>'Translate&amp;Prices&amp;Logo'!B554</f>
        <v>Half-overlay</v>
      </c>
      <c r="D17" s="32" t="str">
        <f t="shared" si="0"/>
        <v>úzký_HETTICH_Polonaložený</v>
      </c>
      <c r="E17" s="37" t="str">
        <f>'Translate&amp;Prices&amp;Logo'!$B$584</f>
        <v>tip-on without spring / damping</v>
      </c>
      <c r="F17" s="34" t="str">
        <f>'Translate&amp;Prices&amp;Logo'!$B$585</f>
        <v>silver</v>
      </c>
      <c r="G17" s="34" t="str">
        <f t="shared" si="1"/>
        <v>300286 - Half-overlay tip-on without spring / damping - silver</v>
      </c>
      <c r="H17" s="35">
        <v>300286</v>
      </c>
      <c r="I17" s="35" t="s">
        <v>1103</v>
      </c>
      <c r="J17" s="35" t="s">
        <v>1103</v>
      </c>
      <c r="K17" s="35">
        <v>106403</v>
      </c>
      <c r="L17" s="35" t="str">
        <f t="shared" si="2"/>
        <v>cross screw - 106403</v>
      </c>
      <c r="M17" s="35" t="s">
        <v>2122</v>
      </c>
      <c r="N17" s="35" t="str">
        <f t="shared" si="3"/>
        <v>on screw (w/ cam adjust) - N/A</v>
      </c>
      <c r="O17" s="35">
        <v>119240</v>
      </c>
      <c r="P17" s="35" t="str">
        <f t="shared" si="4"/>
        <v>euroscrew - 119240</v>
      </c>
      <c r="Q17" s="35">
        <v>136276</v>
      </c>
      <c r="R17" s="35" t="str">
        <f t="shared" si="5"/>
        <v>expando - 136276</v>
      </c>
      <c r="S17" s="35">
        <v>300319</v>
      </c>
      <c r="T17" s="35" t="str">
        <f t="shared" si="6"/>
        <v>direct screw - 300319</v>
      </c>
      <c r="U17" s="35" t="s">
        <v>2122</v>
      </c>
      <c r="V17" s="35" t="str">
        <f t="shared" si="7"/>
        <v>direct euroscrew - N/A</v>
      </c>
      <c r="W17" s="35" t="s">
        <v>2122</v>
      </c>
      <c r="X17" s="35" t="str">
        <f t="shared" si="8"/>
        <v>direct expando - N/A</v>
      </c>
      <c r="Y17" s="34"/>
      <c r="Z17" s="34"/>
    </row>
    <row r="18" spans="1:26" ht="15">
      <c r="A18" s="34" t="s">
        <v>1101</v>
      </c>
      <c r="B18" s="34" t="s">
        <v>567</v>
      </c>
      <c r="C18" s="34" t="str">
        <f>'Translate&amp;Prices&amp;Logo'!B555</f>
        <v>Inset</v>
      </c>
      <c r="D18" s="32" t="str">
        <f t="shared" si="0"/>
        <v>úzký_HETTICH_Vložený</v>
      </c>
      <c r="E18" s="34" t="str">
        <f>'Translate&amp;Prices&amp;Logo'!$B$582</f>
        <v>with spring and damping</v>
      </c>
      <c r="F18" s="34" t="str">
        <f>'Translate&amp;Prices&amp;Logo'!$B$585</f>
        <v>silver</v>
      </c>
      <c r="G18" s="34" t="str">
        <f t="shared" si="1"/>
        <v>300281 - Inset with spring and damping - silver</v>
      </c>
      <c r="H18" s="35">
        <v>300281</v>
      </c>
      <c r="I18" s="35" t="s">
        <v>1103</v>
      </c>
      <c r="J18" s="35" t="s">
        <v>1103</v>
      </c>
      <c r="K18" s="35">
        <v>106403</v>
      </c>
      <c r="L18" s="35" t="str">
        <f t="shared" si="2"/>
        <v>cross screw - 106403</v>
      </c>
      <c r="M18" s="35" t="s">
        <v>2122</v>
      </c>
      <c r="N18" s="35" t="str">
        <f t="shared" si="3"/>
        <v>on screw (w/ cam adjust) - N/A</v>
      </c>
      <c r="O18" s="35">
        <v>119240</v>
      </c>
      <c r="P18" s="35" t="str">
        <f t="shared" si="4"/>
        <v>euroscrew - 119240</v>
      </c>
      <c r="Q18" s="35">
        <v>136276</v>
      </c>
      <c r="R18" s="35" t="str">
        <f t="shared" si="5"/>
        <v>expando - 136276</v>
      </c>
      <c r="S18" s="35">
        <v>300319</v>
      </c>
      <c r="T18" s="35" t="str">
        <f t="shared" si="6"/>
        <v>direct screw - 300319</v>
      </c>
      <c r="U18" s="35" t="s">
        <v>2122</v>
      </c>
      <c r="V18" s="35" t="str">
        <f t="shared" si="7"/>
        <v>direct euroscrew - N/A</v>
      </c>
      <c r="W18" s="35" t="s">
        <v>2122</v>
      </c>
      <c r="X18" s="35" t="str">
        <f t="shared" si="8"/>
        <v>direct expando - N/A</v>
      </c>
      <c r="Y18" s="34"/>
      <c r="Z18" s="34"/>
    </row>
    <row r="19" spans="1:26" ht="15">
      <c r="A19" s="34" t="s">
        <v>1101</v>
      </c>
      <c r="B19" s="34" t="s">
        <v>567</v>
      </c>
      <c r="C19" s="34" t="str">
        <f>'Translate&amp;Prices&amp;Logo'!B555</f>
        <v>Inset</v>
      </c>
      <c r="D19" s="32" t="str">
        <f t="shared" si="0"/>
        <v>úzký_HETTICH_Vložený</v>
      </c>
      <c r="E19" s="34" t="str">
        <f>'Translate&amp;Prices&amp;Logo'!$B$583</f>
        <v>without damping</v>
      </c>
      <c r="F19" s="34" t="str">
        <f>'Translate&amp;Prices&amp;Logo'!$B$585</f>
        <v>silver</v>
      </c>
      <c r="G19" s="34" t="str">
        <f t="shared" si="1"/>
        <v>300284 - Inset without damping - silver</v>
      </c>
      <c r="H19" s="35">
        <v>300284</v>
      </c>
      <c r="I19" s="35" t="s">
        <v>1103</v>
      </c>
      <c r="J19" s="35" t="s">
        <v>1103</v>
      </c>
      <c r="K19" s="35">
        <v>106403</v>
      </c>
      <c r="L19" s="35" t="str">
        <f t="shared" si="2"/>
        <v>cross screw - 106403</v>
      </c>
      <c r="M19" s="35" t="s">
        <v>2122</v>
      </c>
      <c r="N19" s="35" t="str">
        <f t="shared" si="3"/>
        <v>on screw (w/ cam adjust) - N/A</v>
      </c>
      <c r="O19" s="35">
        <v>119240</v>
      </c>
      <c r="P19" s="35" t="str">
        <f t="shared" si="4"/>
        <v>euroscrew - 119240</v>
      </c>
      <c r="Q19" s="35">
        <v>136276</v>
      </c>
      <c r="R19" s="35" t="str">
        <f t="shared" si="5"/>
        <v>expando - 136276</v>
      </c>
      <c r="S19" s="35">
        <v>300319</v>
      </c>
      <c r="T19" s="35" t="str">
        <f t="shared" si="6"/>
        <v>direct screw - 300319</v>
      </c>
      <c r="U19" s="35" t="s">
        <v>2122</v>
      </c>
      <c r="V19" s="35" t="str">
        <f t="shared" si="7"/>
        <v>direct euroscrew - N/A</v>
      </c>
      <c r="W19" s="35" t="s">
        <v>2122</v>
      </c>
      <c r="X19" s="35" t="str">
        <f t="shared" si="8"/>
        <v>direct expando - N/A</v>
      </c>
      <c r="Y19" s="34"/>
      <c r="Z19" s="34"/>
    </row>
    <row r="20" spans="1:26" ht="15">
      <c r="A20" s="34" t="s">
        <v>1101</v>
      </c>
      <c r="B20" s="34" t="s">
        <v>567</v>
      </c>
      <c r="C20" s="34" t="str">
        <f>'Translate&amp;Prices&amp;Logo'!B555</f>
        <v>Inset</v>
      </c>
      <c r="D20" s="32" t="str">
        <f t="shared" si="0"/>
        <v>úzký_HETTICH_Vložený</v>
      </c>
      <c r="E20" s="34" t="str">
        <f>'Translate&amp;Prices&amp;Logo'!$B$584</f>
        <v>tip-on without spring / damping</v>
      </c>
      <c r="F20" s="34" t="str">
        <f>'Translate&amp;Prices&amp;Logo'!$B$585</f>
        <v>silver</v>
      </c>
      <c r="G20" s="34" t="str">
        <f t="shared" si="1"/>
        <v>300287 - Inset tip-on without spring / damping - silver</v>
      </c>
      <c r="H20" s="35">
        <v>300287</v>
      </c>
      <c r="I20" s="35" t="s">
        <v>1103</v>
      </c>
      <c r="J20" s="35" t="s">
        <v>1103</v>
      </c>
      <c r="K20" s="35">
        <v>106403</v>
      </c>
      <c r="L20" s="35" t="str">
        <f t="shared" si="2"/>
        <v>cross screw - 106403</v>
      </c>
      <c r="M20" s="35" t="s">
        <v>2122</v>
      </c>
      <c r="N20" s="35" t="str">
        <f t="shared" si="3"/>
        <v>on screw (w/ cam adjust) - N/A</v>
      </c>
      <c r="O20" s="35">
        <v>119240</v>
      </c>
      <c r="P20" s="35" t="str">
        <f t="shared" si="4"/>
        <v>euroscrew - 119240</v>
      </c>
      <c r="Q20" s="35">
        <v>136276</v>
      </c>
      <c r="R20" s="35" t="str">
        <f t="shared" si="5"/>
        <v>expando - 136276</v>
      </c>
      <c r="S20" s="35">
        <v>300319</v>
      </c>
      <c r="T20" s="35" t="str">
        <f t="shared" si="6"/>
        <v>direct screw - 300319</v>
      </c>
      <c r="U20" s="35" t="s">
        <v>2122</v>
      </c>
      <c r="V20" s="35" t="str">
        <f t="shared" si="7"/>
        <v>direct euroscrew - N/A</v>
      </c>
      <c r="W20" s="35" t="s">
        <v>2122</v>
      </c>
      <c r="X20" s="35" t="str">
        <f t="shared" si="8"/>
        <v>direct expando - N/A</v>
      </c>
      <c r="Y20" s="34"/>
      <c r="Z20" s="34"/>
    </row>
    <row r="21" spans="1:26" ht="15">
      <c r="A21" s="37" t="s">
        <v>1101</v>
      </c>
      <c r="B21" s="37" t="s">
        <v>57</v>
      </c>
      <c r="C21" s="37" t="str">
        <f>'Translate&amp;Prices&amp;Logo'!B553</f>
        <v>Overlay</v>
      </c>
      <c r="D21" s="32" t="str">
        <f t="shared" si="0"/>
        <v>úzký_STRONG_Naložený</v>
      </c>
      <c r="E21" s="37" t="str">
        <f>'Translate&amp;Prices&amp;Logo'!$B$582</f>
        <v>with spring and damping</v>
      </c>
      <c r="F21" s="34" t="str">
        <f>'Translate&amp;Prices&amp;Logo'!$B$585</f>
        <v>silver</v>
      </c>
      <c r="G21" s="34" t="str">
        <f>CONCATENATE(I21," ","-"," ",C21," ",E21," - ",F21)</f>
        <v>92584T - Overlay with spring and damping - silver</v>
      </c>
      <c r="H21" s="35" t="s">
        <v>1103</v>
      </c>
      <c r="I21" s="35" t="s">
        <v>429</v>
      </c>
      <c r="J21" s="35" t="s">
        <v>1103</v>
      </c>
      <c r="K21" s="35" t="s">
        <v>58</v>
      </c>
      <c r="L21" s="35" t="str">
        <f t="shared" si="2"/>
        <v>cross screw - 92590T</v>
      </c>
      <c r="M21" s="35" t="s">
        <v>62</v>
      </c>
      <c r="N21" s="35" t="str">
        <f t="shared" si="3"/>
        <v>on screw (w/ cam adjust) - 92594T</v>
      </c>
      <c r="O21" s="35" t="s">
        <v>63</v>
      </c>
      <c r="P21" s="35" t="str">
        <f t="shared" si="4"/>
        <v>euroscrew - 92591T</v>
      </c>
      <c r="Q21" s="35" t="s">
        <v>2122</v>
      </c>
      <c r="R21" s="35" t="str">
        <f t="shared" si="5"/>
        <v>expando - N/A</v>
      </c>
      <c r="S21" s="35" t="s">
        <v>2122</v>
      </c>
      <c r="T21" s="35" t="str">
        <f t="shared" si="6"/>
        <v>direct screw - N/A</v>
      </c>
      <c r="U21" s="35" t="s">
        <v>2122</v>
      </c>
      <c r="V21" s="35" t="str">
        <f t="shared" si="7"/>
        <v>direct euroscrew - N/A</v>
      </c>
      <c r="W21" s="35" t="s">
        <v>2122</v>
      </c>
      <c r="X21" s="35" t="str">
        <f t="shared" si="8"/>
        <v>direct expando - N/A</v>
      </c>
      <c r="Y21" s="34"/>
      <c r="Z21" s="34"/>
    </row>
    <row r="22" spans="1:26" ht="15">
      <c r="A22" s="34" t="s">
        <v>1101</v>
      </c>
      <c r="B22" s="34" t="s">
        <v>2352</v>
      </c>
      <c r="C22" s="34" t="str">
        <f>'Translate&amp;Prices&amp;Logo'!B553</f>
        <v>Overlay</v>
      </c>
      <c r="D22" s="32" t="str">
        <f t="shared" si="0"/>
        <v>úzký_STRONGHINGES_Naložený</v>
      </c>
      <c r="E22" s="34" t="str">
        <f>'Translate&amp;Prices&amp;Logo'!$B$582</f>
        <v>with spring and damping</v>
      </c>
      <c r="F22" s="34" t="str">
        <f>'Translate&amp;Prices&amp;Logo'!$B$585</f>
        <v>silver</v>
      </c>
      <c r="G22" s="34" t="str">
        <f t="shared" ref="G22:G66" si="10">CONCATENATE(I22," ","-"," ",C22," ",E22," - ",F22)</f>
        <v>350863 - Overlay with spring and damping - silver</v>
      </c>
      <c r="H22" s="35" t="s">
        <v>1103</v>
      </c>
      <c r="I22" s="35">
        <v>350863</v>
      </c>
      <c r="J22" s="35" t="s">
        <v>1103</v>
      </c>
      <c r="K22" s="35">
        <v>92596</v>
      </c>
      <c r="L22" s="35" t="str">
        <f t="shared" si="2"/>
        <v>cross screw - 92596</v>
      </c>
      <c r="M22" s="35">
        <v>315856</v>
      </c>
      <c r="N22" s="35" t="str">
        <f t="shared" si="3"/>
        <v>on screw (w/ cam adjust) - 315856</v>
      </c>
      <c r="O22" s="35">
        <v>92597</v>
      </c>
      <c r="P22" s="35" t="str">
        <f t="shared" si="4"/>
        <v>euroscrew - 92597</v>
      </c>
      <c r="Q22" s="35" t="s">
        <v>2122</v>
      </c>
      <c r="R22" s="35" t="str">
        <f t="shared" si="5"/>
        <v>expando - N/A</v>
      </c>
      <c r="S22" s="35" t="s">
        <v>2122</v>
      </c>
      <c r="T22" s="35" t="str">
        <f t="shared" si="6"/>
        <v>direct screw - N/A</v>
      </c>
      <c r="U22" s="35" t="s">
        <v>2122</v>
      </c>
      <c r="V22" s="35" t="str">
        <f t="shared" si="7"/>
        <v>direct euroscrew - N/A</v>
      </c>
      <c r="W22" s="35" t="s">
        <v>2122</v>
      </c>
      <c r="X22" s="35" t="str">
        <f t="shared" si="8"/>
        <v>direct expando - N/A</v>
      </c>
      <c r="Y22" s="34"/>
      <c r="Z22" s="34"/>
    </row>
    <row r="23" spans="1:26" ht="15">
      <c r="A23" s="34" t="s">
        <v>1101</v>
      </c>
      <c r="B23" s="34" t="s">
        <v>2352</v>
      </c>
      <c r="C23" s="34" t="str">
        <f>'Translate&amp;Prices&amp;Logo'!B553</f>
        <v>Overlay</v>
      </c>
      <c r="D23" s="32" t="str">
        <f t="shared" si="0"/>
        <v>úzký_STRONGHINGES_Naložený</v>
      </c>
      <c r="E23" s="34" t="str">
        <f>'Translate&amp;Prices&amp;Logo'!$B$584</f>
        <v>tip-on without spring / damping</v>
      </c>
      <c r="F23" s="34" t="str">
        <f>'Translate&amp;Prices&amp;Logo'!$B$585</f>
        <v>silver</v>
      </c>
      <c r="G23" s="34" t="str">
        <f t="shared" si="10"/>
        <v>350864 - Overlay tip-on without spring / damping - silver</v>
      </c>
      <c r="H23" s="35" t="s">
        <v>1103</v>
      </c>
      <c r="I23" s="35">
        <v>350864</v>
      </c>
      <c r="J23" s="35" t="s">
        <v>1103</v>
      </c>
      <c r="K23" s="35">
        <v>92596</v>
      </c>
      <c r="L23" s="35" t="str">
        <f t="shared" si="2"/>
        <v>cross screw - 92596</v>
      </c>
      <c r="M23" s="35">
        <v>315856</v>
      </c>
      <c r="N23" s="35" t="str">
        <f t="shared" si="3"/>
        <v>on screw (w/ cam adjust) - 315856</v>
      </c>
      <c r="O23" s="35">
        <v>92597</v>
      </c>
      <c r="P23" s="35" t="str">
        <f t="shared" si="4"/>
        <v>euroscrew - 92597</v>
      </c>
      <c r="Q23" s="35" t="s">
        <v>2122</v>
      </c>
      <c r="R23" s="35" t="str">
        <f t="shared" si="5"/>
        <v>expando - N/A</v>
      </c>
      <c r="S23" s="35" t="s">
        <v>2122</v>
      </c>
      <c r="T23" s="35" t="str">
        <f t="shared" si="6"/>
        <v>direct screw - N/A</v>
      </c>
      <c r="U23" s="35" t="s">
        <v>2122</v>
      </c>
      <c r="V23" s="35" t="str">
        <f t="shared" si="7"/>
        <v>direct euroscrew - N/A</v>
      </c>
      <c r="W23" s="35" t="s">
        <v>2122</v>
      </c>
      <c r="X23" s="35" t="str">
        <f t="shared" si="8"/>
        <v>direct expando - N/A</v>
      </c>
      <c r="Y23" s="34"/>
      <c r="Z23" s="34"/>
    </row>
    <row r="24" spans="1:26" ht="15">
      <c r="A24" s="37" t="s">
        <v>1105</v>
      </c>
      <c r="B24" s="37" t="s">
        <v>2</v>
      </c>
      <c r="C24" s="37" t="str">
        <f>'Translate&amp;Prices&amp;Logo'!B553</f>
        <v>Overlay</v>
      </c>
      <c r="D24" s="32" t="str">
        <f t="shared" si="0"/>
        <v>široký_BLUM_Naložený</v>
      </c>
      <c r="E24" s="37" t="str">
        <f>'Translate&amp;Prices&amp;Logo'!$B$582</f>
        <v>with spring and damping</v>
      </c>
      <c r="F24" s="34" t="str">
        <f>'Translate&amp;Prices&amp;Logo'!$B$585</f>
        <v>silver</v>
      </c>
      <c r="G24" s="34" t="str">
        <f t="shared" si="10"/>
        <v>12047 - Overlay with spring and damping - silver</v>
      </c>
      <c r="H24" s="35" t="s">
        <v>1103</v>
      </c>
      <c r="I24" s="35">
        <v>12047</v>
      </c>
      <c r="J24" s="35" t="s">
        <v>1103</v>
      </c>
      <c r="K24" s="35">
        <v>12306</v>
      </c>
      <c r="L24" s="35" t="str">
        <f t="shared" si="2"/>
        <v>cross screw - 12306</v>
      </c>
      <c r="M24" s="35" t="s">
        <v>2122</v>
      </c>
      <c r="N24" s="35" t="str">
        <f t="shared" si="3"/>
        <v>on screw (w/ cam adjust) - N/A</v>
      </c>
      <c r="O24" s="35">
        <v>12318</v>
      </c>
      <c r="P24" s="35" t="str">
        <f t="shared" si="4"/>
        <v>euroscrew - 12318</v>
      </c>
      <c r="Q24" s="35">
        <v>12302</v>
      </c>
      <c r="R24" s="35" t="str">
        <f t="shared" si="5"/>
        <v>expando - 12302</v>
      </c>
      <c r="S24" s="35">
        <v>203387</v>
      </c>
      <c r="T24" s="35" t="str">
        <f t="shared" si="6"/>
        <v>direct screw - 203387</v>
      </c>
      <c r="U24" s="35">
        <v>346624</v>
      </c>
      <c r="V24" s="35" t="str">
        <f t="shared" si="7"/>
        <v>direct euroscrew - 346624</v>
      </c>
      <c r="W24" s="35">
        <v>211476</v>
      </c>
      <c r="X24" s="35" t="str">
        <f t="shared" si="8"/>
        <v>direct expando - 211476</v>
      </c>
      <c r="Y24" s="34"/>
      <c r="Z24" s="34"/>
    </row>
    <row r="25" spans="1:26" ht="16.350000000000001" customHeight="1">
      <c r="A25" s="37" t="s">
        <v>1105</v>
      </c>
      <c r="B25" s="37" t="s">
        <v>2</v>
      </c>
      <c r="C25" s="37" t="str">
        <f>'Translate&amp;Prices&amp;Logo'!B553</f>
        <v>Overlay</v>
      </c>
      <c r="D25" s="32" t="str">
        <f t="shared" si="0"/>
        <v>široký_BLUM_Naložený</v>
      </c>
      <c r="E25" s="37" t="str">
        <f>'Translate&amp;Prices&amp;Logo'!$B$582</f>
        <v>with spring and damping</v>
      </c>
      <c r="F25" s="34" t="str">
        <f>'Translate&amp;Prices&amp;Logo'!$B$586</f>
        <v>black</v>
      </c>
      <c r="G25" s="34" t="str">
        <f t="shared" si="10"/>
        <v>306317 - Overlay with spring and damping - black</v>
      </c>
      <c r="H25" s="35" t="s">
        <v>1103</v>
      </c>
      <c r="I25" s="35">
        <v>306317</v>
      </c>
      <c r="J25" s="35" t="s">
        <v>1103</v>
      </c>
      <c r="K25" s="35">
        <v>458360</v>
      </c>
      <c r="L25" s="35" t="str">
        <f t="shared" si="2"/>
        <v>cross screw - 458360</v>
      </c>
      <c r="M25" s="35" t="s">
        <v>2122</v>
      </c>
      <c r="N25" s="35" t="str">
        <f t="shared" si="3"/>
        <v>on screw (w/ cam adjust) - N/A</v>
      </c>
      <c r="O25" s="35" t="s">
        <v>2122</v>
      </c>
      <c r="P25" s="35" t="str">
        <f t="shared" si="4"/>
        <v>euroscrew - N/A</v>
      </c>
      <c r="Q25" s="35">
        <v>347124</v>
      </c>
      <c r="R25" s="35" t="str">
        <f t="shared" si="5"/>
        <v>expando - 347124</v>
      </c>
      <c r="S25" s="35">
        <v>306320</v>
      </c>
      <c r="T25" s="35" t="str">
        <f t="shared" si="6"/>
        <v>direct screw - 306320</v>
      </c>
      <c r="U25" s="35" t="s">
        <v>2122</v>
      </c>
      <c r="V25" s="35" t="str">
        <f t="shared" si="7"/>
        <v>direct euroscrew - N/A</v>
      </c>
      <c r="W25" s="35">
        <v>409651</v>
      </c>
      <c r="X25" s="35" t="str">
        <f t="shared" si="8"/>
        <v>direct expando - 409651</v>
      </c>
      <c r="Y25" s="34"/>
      <c r="Z25" s="34"/>
    </row>
    <row r="26" spans="1:26" ht="16.350000000000001" customHeight="1">
      <c r="A26" s="37" t="s">
        <v>1105</v>
      </c>
      <c r="B26" s="37" t="s">
        <v>2</v>
      </c>
      <c r="C26" s="37" t="str">
        <f>'Translate&amp;Prices&amp;Logo'!B553</f>
        <v>Overlay</v>
      </c>
      <c r="D26" s="32" t="str">
        <f t="shared" si="0"/>
        <v>široký_BLUM_Naložený</v>
      </c>
      <c r="E26" s="37" t="str">
        <f>'Translate&amp;Prices&amp;Logo'!$B$583</f>
        <v>without damping</v>
      </c>
      <c r="F26" s="34" t="str">
        <f>'Translate&amp;Prices&amp;Logo'!$B$585</f>
        <v>silver</v>
      </c>
      <c r="G26" s="34" t="str">
        <f t="shared" si="10"/>
        <v>12052 - Overlay without damping - silver</v>
      </c>
      <c r="H26" s="35" t="s">
        <v>1103</v>
      </c>
      <c r="I26" s="35">
        <v>12052</v>
      </c>
      <c r="J26" s="35" t="s">
        <v>1103</v>
      </c>
      <c r="K26" s="35">
        <v>12306</v>
      </c>
      <c r="L26" s="35" t="str">
        <f t="shared" si="2"/>
        <v>cross screw - 12306</v>
      </c>
      <c r="M26" s="35" t="s">
        <v>2122</v>
      </c>
      <c r="N26" s="35" t="str">
        <f t="shared" si="3"/>
        <v>on screw (w/ cam adjust) - N/A</v>
      </c>
      <c r="O26" s="35">
        <v>12318</v>
      </c>
      <c r="P26" s="35" t="str">
        <f t="shared" si="4"/>
        <v>euroscrew - 12318</v>
      </c>
      <c r="Q26" s="35">
        <v>12302</v>
      </c>
      <c r="R26" s="35" t="str">
        <f t="shared" si="5"/>
        <v>expando - 12302</v>
      </c>
      <c r="S26" s="35">
        <v>203387</v>
      </c>
      <c r="T26" s="35" t="str">
        <f t="shared" si="6"/>
        <v>direct screw - 203387</v>
      </c>
      <c r="U26" s="35">
        <v>346624</v>
      </c>
      <c r="V26" s="35" t="str">
        <f t="shared" si="7"/>
        <v>direct euroscrew - 346624</v>
      </c>
      <c r="W26" s="35">
        <v>211476</v>
      </c>
      <c r="X26" s="35" t="str">
        <f t="shared" si="8"/>
        <v>direct expando - 211476</v>
      </c>
      <c r="Y26" s="34"/>
      <c r="Z26" s="34"/>
    </row>
    <row r="27" spans="1:26" ht="16.350000000000001" customHeight="1">
      <c r="A27" s="37" t="s">
        <v>1105</v>
      </c>
      <c r="B27" s="37" t="s">
        <v>2</v>
      </c>
      <c r="C27" s="37" t="str">
        <f>'Translate&amp;Prices&amp;Logo'!B553</f>
        <v>Overlay</v>
      </c>
      <c r="D27" s="32" t="str">
        <f t="shared" si="0"/>
        <v>široký_BLUM_Naložený</v>
      </c>
      <c r="E27" s="37" t="str">
        <f>'Translate&amp;Prices&amp;Logo'!$B$584</f>
        <v>tip-on without spring / damping</v>
      </c>
      <c r="F27" s="34" t="str">
        <f>'Translate&amp;Prices&amp;Logo'!$B$585</f>
        <v>silver</v>
      </c>
      <c r="G27" s="34" t="str">
        <f t="shared" si="10"/>
        <v>226668 - Overlay tip-on without spring / damping - silver</v>
      </c>
      <c r="H27" s="35" t="s">
        <v>1103</v>
      </c>
      <c r="I27" s="35">
        <v>226668</v>
      </c>
      <c r="J27" s="35" t="s">
        <v>1103</v>
      </c>
      <c r="K27" s="35">
        <v>12306</v>
      </c>
      <c r="L27" s="35" t="str">
        <f t="shared" si="2"/>
        <v>cross screw - 12306</v>
      </c>
      <c r="M27" s="35" t="s">
        <v>2122</v>
      </c>
      <c r="N27" s="35" t="str">
        <f t="shared" si="3"/>
        <v>on screw (w/ cam adjust) - N/A</v>
      </c>
      <c r="O27" s="35">
        <v>12318</v>
      </c>
      <c r="P27" s="35" t="str">
        <f t="shared" si="4"/>
        <v>euroscrew - 12318</v>
      </c>
      <c r="Q27" s="35">
        <v>12302</v>
      </c>
      <c r="R27" s="35" t="str">
        <f t="shared" si="5"/>
        <v>expando - 12302</v>
      </c>
      <c r="S27" s="35">
        <v>203387</v>
      </c>
      <c r="T27" s="35" t="str">
        <f t="shared" si="6"/>
        <v>direct screw - 203387</v>
      </c>
      <c r="U27" s="35">
        <v>346624</v>
      </c>
      <c r="V27" s="35" t="str">
        <f t="shared" si="7"/>
        <v>direct euroscrew - 346624</v>
      </c>
      <c r="W27" s="35">
        <v>211476</v>
      </c>
      <c r="X27" s="35" t="str">
        <f t="shared" si="8"/>
        <v>direct expando - 211476</v>
      </c>
      <c r="Y27" s="34"/>
      <c r="Z27" s="34"/>
    </row>
    <row r="28" spans="1:26" ht="16.350000000000001" customHeight="1">
      <c r="A28" s="37" t="s">
        <v>1105</v>
      </c>
      <c r="B28" s="37" t="s">
        <v>2</v>
      </c>
      <c r="C28" s="37" t="str">
        <f>'Translate&amp;Prices&amp;Logo'!B553</f>
        <v>Overlay</v>
      </c>
      <c r="D28" s="32" t="str">
        <f t="shared" si="0"/>
        <v>široký_BLUM_Naložený</v>
      </c>
      <c r="E28" s="37" t="str">
        <f>'Translate&amp;Prices&amp;Logo'!$B$584</f>
        <v>tip-on without spring / damping</v>
      </c>
      <c r="F28" s="34" t="s">
        <v>2569</v>
      </c>
      <c r="G28" s="34" t="str">
        <f>CONCATENATE(H28," ","-"," ",C28," ",E28," - ",F28)</f>
        <v>318173 - Overlay tip-on without spring / damping - onyx</v>
      </c>
      <c r="H28" s="35">
        <v>318173</v>
      </c>
      <c r="Q28" s="35">
        <v>347124</v>
      </c>
      <c r="R28" s="35" t="str">
        <f t="shared" si="5"/>
        <v>expando - 347124</v>
      </c>
      <c r="S28" s="35">
        <v>306320</v>
      </c>
      <c r="T28" s="35" t="str">
        <f t="shared" ref="T28" si="11">CONCATENATE($S$1," - ",S28)</f>
        <v>direct screw - 306320</v>
      </c>
      <c r="X28" s="35"/>
      <c r="Y28" s="34"/>
      <c r="Z28" s="34"/>
    </row>
    <row r="29" spans="1:26" ht="16.350000000000001" customHeight="1">
      <c r="A29" s="34" t="s">
        <v>1105</v>
      </c>
      <c r="B29" s="34" t="s">
        <v>2</v>
      </c>
      <c r="C29" s="34" t="str">
        <f>'Translate&amp;Prices&amp;Logo'!B554</f>
        <v>Half-overlay</v>
      </c>
      <c r="D29" s="32" t="str">
        <f t="shared" si="0"/>
        <v>široký_BLUM_Polonaložený</v>
      </c>
      <c r="E29" s="34" t="str">
        <f>'Translate&amp;Prices&amp;Logo'!$B$582</f>
        <v>with spring and damping</v>
      </c>
      <c r="F29" s="34" t="str">
        <f>'Translate&amp;Prices&amp;Logo'!$B$585</f>
        <v>silver</v>
      </c>
      <c r="G29" s="34" t="str">
        <f t="shared" si="10"/>
        <v>12048 - Half-overlay with spring and damping - silver</v>
      </c>
      <c r="H29" s="35" t="s">
        <v>1103</v>
      </c>
      <c r="I29" s="35">
        <v>12048</v>
      </c>
      <c r="J29" s="35" t="s">
        <v>1103</v>
      </c>
      <c r="K29" s="35">
        <v>12306</v>
      </c>
      <c r="L29" s="35" t="str">
        <f t="shared" si="2"/>
        <v>cross screw - 12306</v>
      </c>
      <c r="M29" s="35" t="s">
        <v>2122</v>
      </c>
      <c r="N29" s="35" t="str">
        <f t="shared" si="3"/>
        <v>on screw (w/ cam adjust) - N/A</v>
      </c>
      <c r="O29" s="35">
        <v>12318</v>
      </c>
      <c r="P29" s="35" t="str">
        <f t="shared" si="4"/>
        <v>euroscrew - 12318</v>
      </c>
      <c r="Q29" s="35">
        <v>12302</v>
      </c>
      <c r="R29" s="35" t="str">
        <f t="shared" si="5"/>
        <v>expando - 12302</v>
      </c>
      <c r="S29" s="35">
        <v>203387</v>
      </c>
      <c r="T29" s="35" t="str">
        <f t="shared" si="6"/>
        <v>direct screw - 203387</v>
      </c>
      <c r="U29" s="35">
        <v>346624</v>
      </c>
      <c r="V29" s="35" t="str">
        <f t="shared" si="7"/>
        <v>direct euroscrew - 346624</v>
      </c>
      <c r="W29" s="35">
        <v>211476</v>
      </c>
      <c r="X29" s="35" t="str">
        <f t="shared" si="8"/>
        <v>direct expando - 211476</v>
      </c>
      <c r="Y29" s="34"/>
      <c r="Z29" s="34"/>
    </row>
    <row r="30" spans="1:26" ht="16.350000000000001" customHeight="1">
      <c r="A30" s="34" t="s">
        <v>1105</v>
      </c>
      <c r="B30" s="34" t="s">
        <v>2</v>
      </c>
      <c r="C30" s="34" t="str">
        <f>'Translate&amp;Prices&amp;Logo'!B554</f>
        <v>Half-overlay</v>
      </c>
      <c r="D30" s="32" t="str">
        <f t="shared" si="0"/>
        <v>široký_BLUM_Polonaložený</v>
      </c>
      <c r="E30" s="34" t="str">
        <f>'Translate&amp;Prices&amp;Logo'!$B$582</f>
        <v>with spring and damping</v>
      </c>
      <c r="F30" s="34" t="str">
        <f>'Translate&amp;Prices&amp;Logo'!$B$586</f>
        <v>black</v>
      </c>
      <c r="G30" s="34" t="str">
        <f t="shared" si="10"/>
        <v>306318 - Half-overlay with spring and damping - black</v>
      </c>
      <c r="H30" s="35" t="s">
        <v>1103</v>
      </c>
      <c r="I30" s="35">
        <v>306318</v>
      </c>
      <c r="J30" s="35" t="s">
        <v>1103</v>
      </c>
      <c r="K30" s="35">
        <v>458360</v>
      </c>
      <c r="L30" s="35" t="str">
        <f t="shared" si="2"/>
        <v>cross screw - 458360</v>
      </c>
      <c r="M30" s="35" t="s">
        <v>2122</v>
      </c>
      <c r="N30" s="35" t="str">
        <f t="shared" si="3"/>
        <v>on screw (w/ cam adjust) - N/A</v>
      </c>
      <c r="O30" s="35" t="s">
        <v>2122</v>
      </c>
      <c r="P30" s="35" t="str">
        <f t="shared" si="4"/>
        <v>euroscrew - N/A</v>
      </c>
      <c r="Q30" s="35">
        <v>347124</v>
      </c>
      <c r="R30" s="35" t="str">
        <f t="shared" si="5"/>
        <v>expando - 347124</v>
      </c>
      <c r="S30" s="35">
        <v>306320</v>
      </c>
      <c r="T30" s="35" t="str">
        <f t="shared" si="6"/>
        <v>direct screw - 306320</v>
      </c>
      <c r="U30" s="35" t="s">
        <v>2122</v>
      </c>
      <c r="V30" s="35" t="str">
        <f t="shared" si="7"/>
        <v>direct euroscrew - N/A</v>
      </c>
      <c r="W30" s="35">
        <v>409651</v>
      </c>
      <c r="X30" s="35" t="str">
        <f t="shared" si="8"/>
        <v>direct expando - 409651</v>
      </c>
      <c r="Y30" s="34"/>
      <c r="Z30" s="34"/>
    </row>
    <row r="31" spans="1:26" ht="16.350000000000001" customHeight="1">
      <c r="A31" s="34" t="s">
        <v>1105</v>
      </c>
      <c r="B31" s="34" t="s">
        <v>2</v>
      </c>
      <c r="C31" s="34" t="str">
        <f>'Translate&amp;Prices&amp;Logo'!B554</f>
        <v>Half-overlay</v>
      </c>
      <c r="D31" s="32" t="str">
        <f t="shared" si="0"/>
        <v>široký_BLUM_Polonaložený</v>
      </c>
      <c r="E31" s="34" t="str">
        <f>'Translate&amp;Prices&amp;Logo'!$B$583</f>
        <v>without damping</v>
      </c>
      <c r="F31" s="34" t="str">
        <f>'Translate&amp;Prices&amp;Logo'!$B$585</f>
        <v>silver</v>
      </c>
      <c r="G31" s="34" t="str">
        <f t="shared" si="10"/>
        <v>12053 - Half-overlay without damping - silver</v>
      </c>
      <c r="H31" s="35" t="s">
        <v>1103</v>
      </c>
      <c r="I31" s="35">
        <v>12053</v>
      </c>
      <c r="J31" s="35" t="s">
        <v>1103</v>
      </c>
      <c r="K31" s="35">
        <v>12306</v>
      </c>
      <c r="L31" s="35" t="str">
        <f t="shared" si="2"/>
        <v>cross screw - 12306</v>
      </c>
      <c r="M31" s="35" t="s">
        <v>2122</v>
      </c>
      <c r="N31" s="35" t="str">
        <f t="shared" si="3"/>
        <v>on screw (w/ cam adjust) - N/A</v>
      </c>
      <c r="O31" s="35">
        <v>12318</v>
      </c>
      <c r="P31" s="35" t="str">
        <f t="shared" si="4"/>
        <v>euroscrew - 12318</v>
      </c>
      <c r="Q31" s="35">
        <v>12302</v>
      </c>
      <c r="R31" s="35" t="str">
        <f t="shared" si="5"/>
        <v>expando - 12302</v>
      </c>
      <c r="S31" s="35">
        <v>203387</v>
      </c>
      <c r="T31" s="35" t="str">
        <f t="shared" si="6"/>
        <v>direct screw - 203387</v>
      </c>
      <c r="U31" s="35">
        <v>346624</v>
      </c>
      <c r="V31" s="35" t="str">
        <f t="shared" si="7"/>
        <v>direct euroscrew - 346624</v>
      </c>
      <c r="W31" s="35">
        <v>211476</v>
      </c>
      <c r="X31" s="35" t="str">
        <f t="shared" si="8"/>
        <v>direct expando - 211476</v>
      </c>
      <c r="Y31" s="34"/>
      <c r="Z31" s="34"/>
    </row>
    <row r="32" spans="1:26" ht="16.350000000000001" customHeight="1">
      <c r="A32" s="34" t="s">
        <v>1105</v>
      </c>
      <c r="B32" s="34" t="s">
        <v>2</v>
      </c>
      <c r="C32" s="34" t="str">
        <f>'Translate&amp;Prices&amp;Logo'!B554</f>
        <v>Half-overlay</v>
      </c>
      <c r="D32" s="32" t="str">
        <f t="shared" si="0"/>
        <v>široký_BLUM_Polonaložený</v>
      </c>
      <c r="E32" s="34" t="str">
        <f>'Translate&amp;Prices&amp;Logo'!$B$584</f>
        <v>tip-on without spring / damping</v>
      </c>
      <c r="F32" s="34" t="str">
        <f>'Translate&amp;Prices&amp;Logo'!$B$585</f>
        <v>silver</v>
      </c>
      <c r="G32" s="34" t="str">
        <f t="shared" si="10"/>
        <v>226670 - Half-overlay tip-on without spring / damping - silver</v>
      </c>
      <c r="H32" s="35" t="s">
        <v>1103</v>
      </c>
      <c r="I32" s="35">
        <v>226670</v>
      </c>
      <c r="J32" s="35" t="s">
        <v>1103</v>
      </c>
      <c r="K32" s="35">
        <v>12306</v>
      </c>
      <c r="L32" s="35" t="str">
        <f t="shared" si="2"/>
        <v>cross screw - 12306</v>
      </c>
      <c r="M32" s="35" t="s">
        <v>2122</v>
      </c>
      <c r="N32" s="35" t="str">
        <f t="shared" si="3"/>
        <v>on screw (w/ cam adjust) - N/A</v>
      </c>
      <c r="O32" s="35">
        <v>12318</v>
      </c>
      <c r="P32" s="35" t="str">
        <f t="shared" si="4"/>
        <v>euroscrew - 12318</v>
      </c>
      <c r="Q32" s="35">
        <v>12302</v>
      </c>
      <c r="R32" s="35" t="str">
        <f t="shared" si="5"/>
        <v>expando - 12302</v>
      </c>
      <c r="S32" s="35">
        <v>203387</v>
      </c>
      <c r="T32" s="35" t="str">
        <f t="shared" si="6"/>
        <v>direct screw - 203387</v>
      </c>
      <c r="U32" s="35">
        <v>346624</v>
      </c>
      <c r="V32" s="35" t="str">
        <f t="shared" si="7"/>
        <v>direct euroscrew - 346624</v>
      </c>
      <c r="W32" s="35">
        <v>211476</v>
      </c>
      <c r="X32" s="35" t="str">
        <f t="shared" si="8"/>
        <v>direct expando - 211476</v>
      </c>
      <c r="Y32" s="34"/>
      <c r="Z32" s="34"/>
    </row>
    <row r="33" spans="1:26" ht="16.350000000000001" customHeight="1">
      <c r="A33" s="37" t="s">
        <v>1105</v>
      </c>
      <c r="B33" s="37" t="s">
        <v>2</v>
      </c>
      <c r="C33" s="37" t="str">
        <f>'Translate&amp;Prices&amp;Logo'!B555</f>
        <v>Inset</v>
      </c>
      <c r="D33" s="32" t="str">
        <f t="shared" si="0"/>
        <v>široký_BLUM_Vložený</v>
      </c>
      <c r="E33" s="37" t="str">
        <f>'Translate&amp;Prices&amp;Logo'!$B$582</f>
        <v>with spring and damping</v>
      </c>
      <c r="F33" s="34" t="str">
        <f>'Translate&amp;Prices&amp;Logo'!$B$585</f>
        <v>silver</v>
      </c>
      <c r="G33" s="34" t="str">
        <f t="shared" si="10"/>
        <v>12049 - Inset with spring and damping - silver</v>
      </c>
      <c r="H33" s="35" t="s">
        <v>1103</v>
      </c>
      <c r="I33" s="35">
        <v>12049</v>
      </c>
      <c r="J33" s="35" t="s">
        <v>1103</v>
      </c>
      <c r="K33" s="35">
        <v>12306</v>
      </c>
      <c r="L33" s="35" t="str">
        <f t="shared" si="2"/>
        <v>cross screw - 12306</v>
      </c>
      <c r="M33" s="35" t="s">
        <v>2122</v>
      </c>
      <c r="N33" s="35" t="str">
        <f t="shared" si="3"/>
        <v>on screw (w/ cam adjust) - N/A</v>
      </c>
      <c r="O33" s="35">
        <v>12318</v>
      </c>
      <c r="P33" s="35" t="str">
        <f t="shared" si="4"/>
        <v>euroscrew - 12318</v>
      </c>
      <c r="Q33" s="35">
        <v>12302</v>
      </c>
      <c r="R33" s="35" t="str">
        <f t="shared" si="5"/>
        <v>expando - 12302</v>
      </c>
      <c r="S33" s="35">
        <v>203387</v>
      </c>
      <c r="T33" s="35" t="str">
        <f t="shared" si="6"/>
        <v>direct screw - 203387</v>
      </c>
      <c r="U33" s="35">
        <v>346624</v>
      </c>
      <c r="V33" s="35" t="str">
        <f t="shared" si="7"/>
        <v>direct euroscrew - 346624</v>
      </c>
      <c r="W33" s="35">
        <v>211476</v>
      </c>
      <c r="X33" s="35" t="str">
        <f t="shared" si="8"/>
        <v>direct expando - 211476</v>
      </c>
      <c r="Y33" s="34"/>
      <c r="Z33" s="34"/>
    </row>
    <row r="34" spans="1:26" ht="16.350000000000001" customHeight="1">
      <c r="A34" s="37" t="s">
        <v>1105</v>
      </c>
      <c r="B34" s="37" t="s">
        <v>2</v>
      </c>
      <c r="C34" s="37" t="str">
        <f>'Translate&amp;Prices&amp;Logo'!B555</f>
        <v>Inset</v>
      </c>
      <c r="D34" s="32" t="str">
        <f t="shared" si="0"/>
        <v>široký_BLUM_Vložený</v>
      </c>
      <c r="E34" s="37" t="str">
        <f>'Translate&amp;Prices&amp;Logo'!$B$582</f>
        <v>with spring and damping</v>
      </c>
      <c r="F34" s="34" t="str">
        <f>'Translate&amp;Prices&amp;Logo'!$B$586</f>
        <v>black</v>
      </c>
      <c r="G34" s="34" t="str">
        <f t="shared" si="10"/>
        <v>306319 - Inset with spring and damping - black</v>
      </c>
      <c r="H34" s="35" t="s">
        <v>1103</v>
      </c>
      <c r="I34" s="35">
        <v>306319</v>
      </c>
      <c r="J34" s="35" t="s">
        <v>1103</v>
      </c>
      <c r="K34" s="35">
        <v>458360</v>
      </c>
      <c r="L34" s="35" t="str">
        <f t="shared" si="2"/>
        <v>cross screw - 458360</v>
      </c>
      <c r="M34" s="35" t="s">
        <v>2122</v>
      </c>
      <c r="N34" s="35" t="str">
        <f t="shared" si="3"/>
        <v>on screw (w/ cam adjust) - N/A</v>
      </c>
      <c r="O34" s="35" t="s">
        <v>2122</v>
      </c>
      <c r="P34" s="35" t="str">
        <f t="shared" si="4"/>
        <v>euroscrew - N/A</v>
      </c>
      <c r="Q34" s="35">
        <v>347124</v>
      </c>
      <c r="R34" s="35" t="str">
        <f t="shared" si="5"/>
        <v>expando - 347124</v>
      </c>
      <c r="S34" s="35">
        <v>306320</v>
      </c>
      <c r="T34" s="35" t="str">
        <f t="shared" si="6"/>
        <v>direct screw - 306320</v>
      </c>
      <c r="U34" s="35" t="s">
        <v>2122</v>
      </c>
      <c r="V34" s="35" t="str">
        <f t="shared" si="7"/>
        <v>direct euroscrew - N/A</v>
      </c>
      <c r="W34" s="35">
        <v>409651</v>
      </c>
      <c r="X34" s="35" t="str">
        <f t="shared" si="8"/>
        <v>direct expando - 409651</v>
      </c>
      <c r="Y34" s="34"/>
      <c r="Z34" s="34"/>
    </row>
    <row r="35" spans="1:26" ht="16.350000000000001" customHeight="1">
      <c r="A35" s="37" t="s">
        <v>1105</v>
      </c>
      <c r="B35" s="37" t="s">
        <v>2</v>
      </c>
      <c r="C35" s="37" t="str">
        <f>'Translate&amp;Prices&amp;Logo'!B555</f>
        <v>Inset</v>
      </c>
      <c r="D35" s="32" t="str">
        <f t="shared" si="0"/>
        <v>široký_BLUM_Vložený</v>
      </c>
      <c r="E35" s="37" t="str">
        <f>'Translate&amp;Prices&amp;Logo'!$B$583</f>
        <v>without damping</v>
      </c>
      <c r="F35" s="34" t="str">
        <f>'Translate&amp;Prices&amp;Logo'!$B$585</f>
        <v>silver</v>
      </c>
      <c r="G35" s="34" t="str">
        <f t="shared" si="10"/>
        <v>12059 - Inset without damping - silver</v>
      </c>
      <c r="H35" s="35" t="s">
        <v>1103</v>
      </c>
      <c r="I35" s="35">
        <v>12059</v>
      </c>
      <c r="J35" s="35" t="s">
        <v>1103</v>
      </c>
      <c r="K35" s="35">
        <v>12306</v>
      </c>
      <c r="L35" s="35" t="str">
        <f t="shared" si="2"/>
        <v>cross screw - 12306</v>
      </c>
      <c r="M35" s="35" t="s">
        <v>2122</v>
      </c>
      <c r="N35" s="35" t="str">
        <f t="shared" si="3"/>
        <v>on screw (w/ cam adjust) - N/A</v>
      </c>
      <c r="O35" s="35">
        <v>12318</v>
      </c>
      <c r="P35" s="35" t="str">
        <f t="shared" si="4"/>
        <v>euroscrew - 12318</v>
      </c>
      <c r="Q35" s="35">
        <v>12302</v>
      </c>
      <c r="R35" s="35" t="str">
        <f t="shared" si="5"/>
        <v>expando - 12302</v>
      </c>
      <c r="S35" s="35">
        <v>203387</v>
      </c>
      <c r="T35" s="35" t="str">
        <f t="shared" si="6"/>
        <v>direct screw - 203387</v>
      </c>
      <c r="U35" s="35">
        <v>346624</v>
      </c>
      <c r="V35" s="35" t="str">
        <f t="shared" si="7"/>
        <v>direct euroscrew - 346624</v>
      </c>
      <c r="W35" s="35">
        <v>211476</v>
      </c>
      <c r="X35" s="35" t="str">
        <f t="shared" si="8"/>
        <v>direct expando - 211476</v>
      </c>
      <c r="Y35" s="34"/>
      <c r="Z35" s="34"/>
    </row>
    <row r="36" spans="1:26" ht="15">
      <c r="A36" s="37" t="s">
        <v>1105</v>
      </c>
      <c r="B36" s="37" t="s">
        <v>2</v>
      </c>
      <c r="C36" s="37" t="str">
        <f>'Translate&amp;Prices&amp;Logo'!B555</f>
        <v>Inset</v>
      </c>
      <c r="D36" s="32" t="str">
        <f t="shared" si="0"/>
        <v>široký_BLUM_Vložený</v>
      </c>
      <c r="E36" s="37" t="str">
        <f>'Translate&amp;Prices&amp;Logo'!$B$584</f>
        <v>tip-on without spring / damping</v>
      </c>
      <c r="F36" s="34" t="str">
        <f>'Translate&amp;Prices&amp;Logo'!$B$585</f>
        <v>silver</v>
      </c>
      <c r="G36" s="34" t="str">
        <f t="shared" si="10"/>
        <v>226671 - Inset tip-on without spring / damping - silver</v>
      </c>
      <c r="H36" s="35" t="s">
        <v>1103</v>
      </c>
      <c r="I36" s="35">
        <v>226671</v>
      </c>
      <c r="J36" s="35" t="s">
        <v>1103</v>
      </c>
      <c r="K36" s="35">
        <v>12306</v>
      </c>
      <c r="L36" s="35" t="str">
        <f t="shared" si="2"/>
        <v>cross screw - 12306</v>
      </c>
      <c r="M36" s="35" t="s">
        <v>2122</v>
      </c>
      <c r="N36" s="35" t="str">
        <f t="shared" si="3"/>
        <v>on screw (w/ cam adjust) - N/A</v>
      </c>
      <c r="O36" s="35">
        <v>12318</v>
      </c>
      <c r="P36" s="35" t="str">
        <f t="shared" si="4"/>
        <v>euroscrew - 12318</v>
      </c>
      <c r="Q36" s="35">
        <v>12302</v>
      </c>
      <c r="R36" s="35" t="str">
        <f t="shared" si="5"/>
        <v>expando - 12302</v>
      </c>
      <c r="S36" s="35">
        <v>203387</v>
      </c>
      <c r="T36" s="35" t="str">
        <f t="shared" si="6"/>
        <v>direct screw - 203387</v>
      </c>
      <c r="U36" s="35">
        <v>346624</v>
      </c>
      <c r="V36" s="35" t="str">
        <f t="shared" si="7"/>
        <v>direct euroscrew - 346624</v>
      </c>
      <c r="W36" s="35">
        <v>211476</v>
      </c>
      <c r="X36" s="35" t="str">
        <f t="shared" si="8"/>
        <v>direct expando - 211476</v>
      </c>
      <c r="Y36" s="34"/>
      <c r="Z36" s="34"/>
    </row>
    <row r="37" spans="1:26" ht="15">
      <c r="A37" s="34" t="s">
        <v>1105</v>
      </c>
      <c r="B37" s="34" t="s">
        <v>567</v>
      </c>
      <c r="C37" s="34" t="str">
        <f>'Translate&amp;Prices&amp;Logo'!B553</f>
        <v>Overlay</v>
      </c>
      <c r="D37" s="32" t="str">
        <f t="shared" si="0"/>
        <v>široký_HETTICH_Naložený</v>
      </c>
      <c r="E37" s="34" t="str">
        <f>'Translate&amp;Prices&amp;Logo'!$B$582</f>
        <v>with spring and damping</v>
      </c>
      <c r="F37" s="34" t="str">
        <f>'Translate&amp;Prices&amp;Logo'!$B$585</f>
        <v>silver</v>
      </c>
      <c r="G37" s="34" t="str">
        <f t="shared" si="10"/>
        <v>104717 - Overlay with spring and damping - silver</v>
      </c>
      <c r="H37" s="35" t="s">
        <v>1103</v>
      </c>
      <c r="I37" s="35">
        <v>104717</v>
      </c>
      <c r="J37" s="35" t="s">
        <v>1103</v>
      </c>
      <c r="K37" s="35">
        <v>106403</v>
      </c>
      <c r="L37" s="35" t="str">
        <f t="shared" si="2"/>
        <v>cross screw - 106403</v>
      </c>
      <c r="M37" s="35" t="s">
        <v>2122</v>
      </c>
      <c r="N37" s="35" t="str">
        <f t="shared" si="3"/>
        <v>on screw (w/ cam adjust) - N/A</v>
      </c>
      <c r="O37" s="35">
        <v>119240</v>
      </c>
      <c r="P37" s="35" t="str">
        <f t="shared" si="4"/>
        <v>euroscrew - 119240</v>
      </c>
      <c r="Q37" s="35">
        <v>136276</v>
      </c>
      <c r="R37" s="35" t="str">
        <f t="shared" si="5"/>
        <v>expando - 136276</v>
      </c>
      <c r="S37" s="35">
        <v>300319</v>
      </c>
      <c r="T37" s="35" t="str">
        <f t="shared" si="6"/>
        <v>direct screw - 300319</v>
      </c>
      <c r="U37" s="35" t="s">
        <v>2122</v>
      </c>
      <c r="V37" s="35" t="str">
        <f t="shared" si="7"/>
        <v>direct euroscrew - N/A</v>
      </c>
      <c r="W37" s="35" t="s">
        <v>2122</v>
      </c>
      <c r="X37" s="35" t="str">
        <f t="shared" si="8"/>
        <v>direct expando - N/A</v>
      </c>
      <c r="Y37" s="34"/>
      <c r="Z37" s="34"/>
    </row>
    <row r="38" spans="1:26" ht="15">
      <c r="A38" s="34" t="s">
        <v>1105</v>
      </c>
      <c r="B38" s="34" t="s">
        <v>567</v>
      </c>
      <c r="C38" s="34" t="str">
        <f>'Translate&amp;Prices&amp;Logo'!B553</f>
        <v>Overlay</v>
      </c>
      <c r="D38" s="32" t="str">
        <f t="shared" si="0"/>
        <v>široký_HETTICH_Naložený</v>
      </c>
      <c r="E38" s="34" t="str">
        <f>'Translate&amp;Prices&amp;Logo'!$B$582</f>
        <v>with spring and damping</v>
      </c>
      <c r="F38" s="34" t="str">
        <f>'Translate&amp;Prices&amp;Logo'!$B$586</f>
        <v>black</v>
      </c>
      <c r="G38" s="34" t="str">
        <f t="shared" si="10"/>
        <v>344691 - Overlay with spring and damping - black</v>
      </c>
      <c r="H38" s="35" t="s">
        <v>1103</v>
      </c>
      <c r="I38" s="35">
        <v>344691</v>
      </c>
      <c r="J38" s="35" t="s">
        <v>1103</v>
      </c>
      <c r="K38" s="35" t="s">
        <v>2122</v>
      </c>
      <c r="L38" s="35" t="str">
        <f t="shared" si="2"/>
        <v>cross screw - N/A</v>
      </c>
      <c r="M38" s="35" t="s">
        <v>2122</v>
      </c>
      <c r="N38" s="35" t="str">
        <f t="shared" si="3"/>
        <v>on screw (w/ cam adjust) - N/A</v>
      </c>
      <c r="O38" s="35">
        <v>344723</v>
      </c>
      <c r="P38" s="35" t="str">
        <f t="shared" si="4"/>
        <v>euroscrew - 344723</v>
      </c>
      <c r="Q38" s="35">
        <v>344727</v>
      </c>
      <c r="R38" s="35" t="str">
        <f t="shared" si="5"/>
        <v>expando - 344727</v>
      </c>
      <c r="S38" s="35">
        <v>397949</v>
      </c>
      <c r="T38" s="35" t="str">
        <f t="shared" si="6"/>
        <v>direct screw - 397949</v>
      </c>
      <c r="U38" s="35" t="s">
        <v>2122</v>
      </c>
      <c r="V38" s="35" t="str">
        <f t="shared" si="7"/>
        <v>direct euroscrew - N/A</v>
      </c>
      <c r="W38" s="35" t="s">
        <v>2122</v>
      </c>
      <c r="X38" s="35" t="str">
        <f t="shared" si="8"/>
        <v>direct expando - N/A</v>
      </c>
      <c r="Y38" s="34"/>
      <c r="Z38" s="34"/>
    </row>
    <row r="39" spans="1:26" ht="15">
      <c r="A39" s="34" t="s">
        <v>1105</v>
      </c>
      <c r="B39" s="34" t="s">
        <v>567</v>
      </c>
      <c r="C39" s="34" t="str">
        <f>'Translate&amp;Prices&amp;Logo'!B553</f>
        <v>Overlay</v>
      </c>
      <c r="D39" s="32" t="str">
        <f t="shared" si="0"/>
        <v>široký_HETTICH_Naložený</v>
      </c>
      <c r="E39" s="34" t="str">
        <f>'Translate&amp;Prices&amp;Logo'!$B$583</f>
        <v>without damping</v>
      </c>
      <c r="F39" s="34" t="str">
        <f>'Translate&amp;Prices&amp;Logo'!$B$585</f>
        <v>silver</v>
      </c>
      <c r="G39" s="34" t="str">
        <f t="shared" si="10"/>
        <v>232346 - Overlay without damping - silver</v>
      </c>
      <c r="H39" s="35" t="s">
        <v>1103</v>
      </c>
      <c r="I39" s="35">
        <v>232346</v>
      </c>
      <c r="J39" s="35" t="s">
        <v>1103</v>
      </c>
      <c r="K39" s="35">
        <v>106403</v>
      </c>
      <c r="L39" s="35" t="str">
        <f t="shared" si="2"/>
        <v>cross screw - 106403</v>
      </c>
      <c r="M39" s="35" t="s">
        <v>2122</v>
      </c>
      <c r="N39" s="35" t="str">
        <f t="shared" si="3"/>
        <v>on screw (w/ cam adjust) - N/A</v>
      </c>
      <c r="O39" s="35">
        <v>119240</v>
      </c>
      <c r="P39" s="35" t="str">
        <f t="shared" si="4"/>
        <v>euroscrew - 119240</v>
      </c>
      <c r="Q39" s="35">
        <v>136276</v>
      </c>
      <c r="R39" s="35" t="str">
        <f t="shared" si="5"/>
        <v>expando - 136276</v>
      </c>
      <c r="S39" s="35">
        <v>300319</v>
      </c>
      <c r="T39" s="35" t="str">
        <f t="shared" si="6"/>
        <v>direct screw - 300319</v>
      </c>
      <c r="U39" s="35" t="s">
        <v>2122</v>
      </c>
      <c r="V39" s="35" t="str">
        <f t="shared" si="7"/>
        <v>direct euroscrew - N/A</v>
      </c>
      <c r="W39" s="35" t="s">
        <v>2122</v>
      </c>
      <c r="X39" s="35" t="str">
        <f t="shared" si="8"/>
        <v>direct expando - N/A</v>
      </c>
      <c r="Y39" s="34"/>
      <c r="Z39" s="34"/>
    </row>
    <row r="40" spans="1:26" ht="15">
      <c r="A40" s="34" t="s">
        <v>1105</v>
      </c>
      <c r="B40" s="34" t="s">
        <v>567</v>
      </c>
      <c r="C40" s="34" t="str">
        <f>'Translate&amp;Prices&amp;Logo'!B553</f>
        <v>Overlay</v>
      </c>
      <c r="D40" s="32" t="str">
        <f t="shared" si="0"/>
        <v>široký_HETTICH_Naložený</v>
      </c>
      <c r="E40" s="34" t="str">
        <f>'Translate&amp;Prices&amp;Logo'!$B$584</f>
        <v>tip-on without spring / damping</v>
      </c>
      <c r="F40" s="34" t="str">
        <f>'Translate&amp;Prices&amp;Logo'!$B$585</f>
        <v>silver</v>
      </c>
      <c r="G40" s="34" t="str">
        <f t="shared" si="10"/>
        <v>245723 - Overlay tip-on without spring / damping - silver</v>
      </c>
      <c r="H40" s="35" t="s">
        <v>1103</v>
      </c>
      <c r="I40" s="35">
        <v>245723</v>
      </c>
      <c r="J40" s="35" t="s">
        <v>1103</v>
      </c>
      <c r="K40" s="35">
        <v>106403</v>
      </c>
      <c r="L40" s="35" t="str">
        <f t="shared" si="2"/>
        <v>cross screw - 106403</v>
      </c>
      <c r="M40" s="35" t="s">
        <v>2122</v>
      </c>
      <c r="N40" s="35" t="str">
        <f t="shared" si="3"/>
        <v>on screw (w/ cam adjust) - N/A</v>
      </c>
      <c r="O40" s="35">
        <v>119240</v>
      </c>
      <c r="P40" s="35" t="str">
        <f t="shared" si="4"/>
        <v>euroscrew - 119240</v>
      </c>
      <c r="Q40" s="35">
        <v>136276</v>
      </c>
      <c r="R40" s="35" t="str">
        <f t="shared" si="5"/>
        <v>expando - 136276</v>
      </c>
      <c r="S40" s="35">
        <v>300319</v>
      </c>
      <c r="T40" s="35" t="str">
        <f t="shared" si="6"/>
        <v>direct screw - 300319</v>
      </c>
      <c r="U40" s="35" t="s">
        <v>2122</v>
      </c>
      <c r="V40" s="35" t="str">
        <f t="shared" si="7"/>
        <v>direct euroscrew - N/A</v>
      </c>
      <c r="W40" s="35" t="s">
        <v>2122</v>
      </c>
      <c r="X40" s="35" t="str">
        <f t="shared" si="8"/>
        <v>direct expando - N/A</v>
      </c>
      <c r="Y40" s="34"/>
      <c r="Z40" s="34"/>
    </row>
    <row r="41" spans="1:26" ht="15">
      <c r="A41" s="34" t="s">
        <v>1105</v>
      </c>
      <c r="B41" s="34" t="s">
        <v>567</v>
      </c>
      <c r="C41" s="34" t="str">
        <f>'Translate&amp;Prices&amp;Logo'!B553</f>
        <v>Overlay</v>
      </c>
      <c r="D41" s="32" t="str">
        <f t="shared" si="0"/>
        <v>široký_HETTICH_Naložený</v>
      </c>
      <c r="E41" s="34" t="str">
        <f>'Translate&amp;Prices&amp;Logo'!$B$584</f>
        <v>tip-on without spring / damping</v>
      </c>
      <c r="F41" s="34" t="str">
        <f>'Translate&amp;Prices&amp;Logo'!$B$586</f>
        <v>black</v>
      </c>
      <c r="G41" s="34" t="str">
        <f t="shared" si="10"/>
        <v>344694 - Overlay tip-on without spring / damping - black</v>
      </c>
      <c r="H41" s="35" t="s">
        <v>1103</v>
      </c>
      <c r="I41" s="35">
        <v>344694</v>
      </c>
      <c r="J41" s="35" t="s">
        <v>1103</v>
      </c>
      <c r="K41" s="35" t="s">
        <v>2122</v>
      </c>
      <c r="L41" s="35" t="str">
        <f t="shared" si="2"/>
        <v>cross screw - N/A</v>
      </c>
      <c r="M41" s="35" t="s">
        <v>2122</v>
      </c>
      <c r="N41" s="35" t="str">
        <f t="shared" si="3"/>
        <v>on screw (w/ cam adjust) - N/A</v>
      </c>
      <c r="O41" s="35">
        <v>344723</v>
      </c>
      <c r="P41" s="35" t="str">
        <f t="shared" si="4"/>
        <v>euroscrew - 344723</v>
      </c>
      <c r="Q41" s="35">
        <v>344727</v>
      </c>
      <c r="R41" s="35" t="str">
        <f t="shared" si="5"/>
        <v>expando - 344727</v>
      </c>
      <c r="S41" s="35">
        <v>397949</v>
      </c>
      <c r="T41" s="35" t="str">
        <f t="shared" si="6"/>
        <v>direct screw - 397949</v>
      </c>
      <c r="U41" s="35" t="s">
        <v>2122</v>
      </c>
      <c r="V41" s="35" t="str">
        <f t="shared" si="7"/>
        <v>direct euroscrew - N/A</v>
      </c>
      <c r="W41" s="35" t="s">
        <v>2122</v>
      </c>
      <c r="X41" s="35" t="str">
        <f t="shared" si="8"/>
        <v>direct expando - N/A</v>
      </c>
      <c r="Y41" s="34"/>
      <c r="Z41" s="34"/>
    </row>
    <row r="42" spans="1:26" ht="15">
      <c r="A42" s="37" t="s">
        <v>1105</v>
      </c>
      <c r="B42" s="37" t="s">
        <v>567</v>
      </c>
      <c r="C42" s="37" t="str">
        <f>'Translate&amp;Prices&amp;Logo'!B554</f>
        <v>Half-overlay</v>
      </c>
      <c r="D42" s="32" t="str">
        <f t="shared" si="0"/>
        <v>široký_HETTICH_Polonaložený</v>
      </c>
      <c r="E42" s="37" t="str">
        <f>'Translate&amp;Prices&amp;Logo'!$B$582</f>
        <v>with spring and damping</v>
      </c>
      <c r="F42" s="34" t="str">
        <f>'Translate&amp;Prices&amp;Logo'!$B$585</f>
        <v>silver</v>
      </c>
      <c r="G42" s="34" t="str">
        <f t="shared" si="10"/>
        <v>104718 - Half-overlay with spring and damping - silver</v>
      </c>
      <c r="H42" s="35" t="s">
        <v>1103</v>
      </c>
      <c r="I42" s="35">
        <v>104718</v>
      </c>
      <c r="J42" s="35" t="s">
        <v>1103</v>
      </c>
      <c r="K42" s="35">
        <v>106403</v>
      </c>
      <c r="L42" s="35" t="str">
        <f t="shared" si="2"/>
        <v>cross screw - 106403</v>
      </c>
      <c r="M42" s="35" t="s">
        <v>2122</v>
      </c>
      <c r="N42" s="35" t="str">
        <f t="shared" si="3"/>
        <v>on screw (w/ cam adjust) - N/A</v>
      </c>
      <c r="O42" s="35">
        <v>119240</v>
      </c>
      <c r="P42" s="35" t="str">
        <f t="shared" si="4"/>
        <v>euroscrew - 119240</v>
      </c>
      <c r="Q42" s="35">
        <v>136276</v>
      </c>
      <c r="R42" s="35" t="str">
        <f t="shared" si="5"/>
        <v>expando - 136276</v>
      </c>
      <c r="S42" s="35">
        <v>300319</v>
      </c>
      <c r="T42" s="35" t="str">
        <f t="shared" si="6"/>
        <v>direct screw - 300319</v>
      </c>
      <c r="U42" s="35" t="s">
        <v>2122</v>
      </c>
      <c r="V42" s="35" t="str">
        <f t="shared" si="7"/>
        <v>direct euroscrew - N/A</v>
      </c>
      <c r="W42" s="35" t="s">
        <v>2122</v>
      </c>
      <c r="X42" s="35" t="str">
        <f t="shared" si="8"/>
        <v>direct expando - N/A</v>
      </c>
      <c r="Y42" s="34"/>
      <c r="Z42" s="34"/>
    </row>
    <row r="43" spans="1:26" ht="15">
      <c r="A43" s="37" t="s">
        <v>1105</v>
      </c>
      <c r="B43" s="37" t="s">
        <v>567</v>
      </c>
      <c r="C43" s="37" t="str">
        <f>'Translate&amp;Prices&amp;Logo'!B554</f>
        <v>Half-overlay</v>
      </c>
      <c r="D43" s="32" t="str">
        <f t="shared" si="0"/>
        <v>široký_HETTICH_Polonaložený</v>
      </c>
      <c r="E43" s="37" t="str">
        <f>'Translate&amp;Prices&amp;Logo'!$B$582</f>
        <v>with spring and damping</v>
      </c>
      <c r="F43" s="34" t="str">
        <f>'Translate&amp;Prices&amp;Logo'!$B$586</f>
        <v>black</v>
      </c>
      <c r="G43" s="34" t="str">
        <f t="shared" si="10"/>
        <v>344692 - Half-overlay with spring and damping - black</v>
      </c>
      <c r="H43" s="35" t="s">
        <v>1103</v>
      </c>
      <c r="I43" s="35">
        <v>344692</v>
      </c>
      <c r="J43" s="35" t="s">
        <v>1103</v>
      </c>
      <c r="K43" s="35" t="s">
        <v>2122</v>
      </c>
      <c r="L43" s="35" t="str">
        <f t="shared" si="2"/>
        <v>cross screw - N/A</v>
      </c>
      <c r="M43" s="35" t="s">
        <v>2122</v>
      </c>
      <c r="N43" s="35" t="str">
        <f t="shared" si="3"/>
        <v>on screw (w/ cam adjust) - N/A</v>
      </c>
      <c r="O43" s="35">
        <v>344723</v>
      </c>
      <c r="P43" s="35" t="str">
        <f t="shared" si="4"/>
        <v>euroscrew - 344723</v>
      </c>
      <c r="Q43" s="35">
        <v>344727</v>
      </c>
      <c r="R43" s="35" t="str">
        <f t="shared" si="5"/>
        <v>expando - 344727</v>
      </c>
      <c r="S43" s="35">
        <v>397949</v>
      </c>
      <c r="T43" s="35" t="str">
        <f t="shared" si="6"/>
        <v>direct screw - 397949</v>
      </c>
      <c r="U43" s="35" t="s">
        <v>2122</v>
      </c>
      <c r="V43" s="35" t="str">
        <f t="shared" si="7"/>
        <v>direct euroscrew - N/A</v>
      </c>
      <c r="W43" s="35" t="s">
        <v>2122</v>
      </c>
      <c r="X43" s="35" t="str">
        <f t="shared" si="8"/>
        <v>direct expando - N/A</v>
      </c>
      <c r="Y43" s="34"/>
      <c r="Z43" s="34"/>
    </row>
    <row r="44" spans="1:26" ht="15">
      <c r="A44" s="37" t="s">
        <v>1105</v>
      </c>
      <c r="B44" s="37" t="s">
        <v>567</v>
      </c>
      <c r="C44" s="37" t="str">
        <f>'Translate&amp;Prices&amp;Logo'!B554</f>
        <v>Half-overlay</v>
      </c>
      <c r="D44" s="32" t="str">
        <f t="shared" si="0"/>
        <v>široký_HETTICH_Polonaložený</v>
      </c>
      <c r="E44" s="37" t="str">
        <f>'Translate&amp;Prices&amp;Logo'!$B$583</f>
        <v>without damping</v>
      </c>
      <c r="F44" s="34" t="str">
        <f>'Translate&amp;Prices&amp;Logo'!$B$585</f>
        <v>silver</v>
      </c>
      <c r="G44" s="34" t="str">
        <f t="shared" si="10"/>
        <v>232347 - Half-overlay without damping - silver</v>
      </c>
      <c r="H44" s="35" t="s">
        <v>1103</v>
      </c>
      <c r="I44" s="35">
        <v>232347</v>
      </c>
      <c r="J44" s="35" t="s">
        <v>1103</v>
      </c>
      <c r="K44" s="35">
        <v>106403</v>
      </c>
      <c r="L44" s="35" t="str">
        <f t="shared" si="2"/>
        <v>cross screw - 106403</v>
      </c>
      <c r="M44" s="35" t="s">
        <v>2122</v>
      </c>
      <c r="N44" s="35" t="str">
        <f t="shared" si="3"/>
        <v>on screw (w/ cam adjust) - N/A</v>
      </c>
      <c r="O44" s="35">
        <v>119240</v>
      </c>
      <c r="P44" s="35" t="str">
        <f t="shared" si="4"/>
        <v>euroscrew - 119240</v>
      </c>
      <c r="Q44" s="35">
        <v>136276</v>
      </c>
      <c r="R44" s="35" t="str">
        <f t="shared" si="5"/>
        <v>expando - 136276</v>
      </c>
      <c r="S44" s="35">
        <v>300319</v>
      </c>
      <c r="T44" s="35" t="str">
        <f t="shared" si="6"/>
        <v>direct screw - 300319</v>
      </c>
      <c r="U44" s="35" t="s">
        <v>2122</v>
      </c>
      <c r="V44" s="35" t="str">
        <f t="shared" si="7"/>
        <v>direct euroscrew - N/A</v>
      </c>
      <c r="W44" s="35" t="s">
        <v>2122</v>
      </c>
      <c r="X44" s="35" t="str">
        <f t="shared" si="8"/>
        <v>direct expando - N/A</v>
      </c>
      <c r="Y44" s="34"/>
      <c r="Z44" s="34"/>
    </row>
    <row r="45" spans="1:26" ht="15">
      <c r="A45" s="37" t="s">
        <v>1105</v>
      </c>
      <c r="B45" s="37" t="s">
        <v>567</v>
      </c>
      <c r="C45" s="37" t="str">
        <f>'Translate&amp;Prices&amp;Logo'!B554</f>
        <v>Half-overlay</v>
      </c>
      <c r="D45" s="32" t="str">
        <f t="shared" si="0"/>
        <v>široký_HETTICH_Polonaložený</v>
      </c>
      <c r="E45" s="37" t="str">
        <f>'Translate&amp;Prices&amp;Logo'!$B$584</f>
        <v>tip-on without spring / damping</v>
      </c>
      <c r="F45" s="34" t="str">
        <f>'Translate&amp;Prices&amp;Logo'!$B$585</f>
        <v>silver</v>
      </c>
      <c r="G45" s="34" t="str">
        <f t="shared" si="10"/>
        <v>245724 - Half-overlay tip-on without spring / damping - silver</v>
      </c>
      <c r="H45" s="35" t="s">
        <v>1103</v>
      </c>
      <c r="I45" s="35">
        <v>245724</v>
      </c>
      <c r="J45" s="35" t="s">
        <v>1103</v>
      </c>
      <c r="K45" s="35">
        <v>106403</v>
      </c>
      <c r="L45" s="35" t="str">
        <f t="shared" si="2"/>
        <v>cross screw - 106403</v>
      </c>
      <c r="M45" s="35" t="s">
        <v>2122</v>
      </c>
      <c r="N45" s="35" t="str">
        <f t="shared" si="3"/>
        <v>on screw (w/ cam adjust) - N/A</v>
      </c>
      <c r="O45" s="35">
        <v>119240</v>
      </c>
      <c r="P45" s="35" t="str">
        <f t="shared" si="4"/>
        <v>euroscrew - 119240</v>
      </c>
      <c r="Q45" s="35">
        <v>136276</v>
      </c>
      <c r="R45" s="35" t="str">
        <f t="shared" si="5"/>
        <v>expando - 136276</v>
      </c>
      <c r="S45" s="35">
        <v>300319</v>
      </c>
      <c r="T45" s="35" t="str">
        <f t="shared" si="6"/>
        <v>direct screw - 300319</v>
      </c>
      <c r="U45" s="35" t="s">
        <v>2122</v>
      </c>
      <c r="V45" s="35" t="str">
        <f t="shared" si="7"/>
        <v>direct euroscrew - N/A</v>
      </c>
      <c r="W45" s="35" t="s">
        <v>2122</v>
      </c>
      <c r="X45" s="35" t="str">
        <f t="shared" si="8"/>
        <v>direct expando - N/A</v>
      </c>
      <c r="Y45" s="34"/>
      <c r="Z45" s="34"/>
    </row>
    <row r="46" spans="1:26" ht="15">
      <c r="A46" s="37" t="s">
        <v>1105</v>
      </c>
      <c r="B46" s="37" t="s">
        <v>567</v>
      </c>
      <c r="C46" s="37" t="str">
        <f>'Translate&amp;Prices&amp;Logo'!B554</f>
        <v>Half-overlay</v>
      </c>
      <c r="D46" s="32" t="str">
        <f t="shared" si="0"/>
        <v>široký_HETTICH_Polonaložený</v>
      </c>
      <c r="E46" s="37" t="str">
        <f>'Translate&amp;Prices&amp;Logo'!$B$584</f>
        <v>tip-on without spring / damping</v>
      </c>
      <c r="F46" s="34" t="str">
        <f>'Translate&amp;Prices&amp;Logo'!$B$586</f>
        <v>black</v>
      </c>
      <c r="G46" s="34" t="str">
        <f t="shared" si="10"/>
        <v>344695 - Half-overlay tip-on without spring / damping - black</v>
      </c>
      <c r="H46" s="35" t="s">
        <v>1103</v>
      </c>
      <c r="I46" s="35">
        <v>344695</v>
      </c>
      <c r="J46" s="35" t="s">
        <v>1103</v>
      </c>
      <c r="K46" s="35" t="s">
        <v>2122</v>
      </c>
      <c r="L46" s="35" t="str">
        <f t="shared" si="2"/>
        <v>cross screw - N/A</v>
      </c>
      <c r="M46" s="35" t="s">
        <v>2122</v>
      </c>
      <c r="N46" s="35" t="str">
        <f t="shared" si="3"/>
        <v>on screw (w/ cam adjust) - N/A</v>
      </c>
      <c r="O46" s="35">
        <v>344723</v>
      </c>
      <c r="P46" s="35" t="str">
        <f t="shared" si="4"/>
        <v>euroscrew - 344723</v>
      </c>
      <c r="Q46" s="35">
        <v>344727</v>
      </c>
      <c r="R46" s="35" t="str">
        <f t="shared" si="5"/>
        <v>expando - 344727</v>
      </c>
      <c r="S46" s="35">
        <v>397949</v>
      </c>
      <c r="T46" s="35" t="str">
        <f t="shared" si="6"/>
        <v>direct screw - 397949</v>
      </c>
      <c r="U46" s="35" t="s">
        <v>2122</v>
      </c>
      <c r="V46" s="35" t="str">
        <f t="shared" si="7"/>
        <v>direct euroscrew - N/A</v>
      </c>
      <c r="W46" s="35" t="s">
        <v>2122</v>
      </c>
      <c r="X46" s="35" t="str">
        <f t="shared" si="8"/>
        <v>direct expando - N/A</v>
      </c>
      <c r="Y46" s="34"/>
      <c r="Z46" s="34"/>
    </row>
    <row r="47" spans="1:26" ht="15">
      <c r="A47" s="34" t="s">
        <v>1105</v>
      </c>
      <c r="B47" s="34" t="s">
        <v>567</v>
      </c>
      <c r="C47" s="34" t="str">
        <f>'Translate&amp;Prices&amp;Logo'!B555</f>
        <v>Inset</v>
      </c>
      <c r="D47" s="32" t="str">
        <f t="shared" si="0"/>
        <v>široký_HETTICH_Vložený</v>
      </c>
      <c r="E47" s="34" t="str">
        <f>'Translate&amp;Prices&amp;Logo'!$B$582</f>
        <v>with spring and damping</v>
      </c>
      <c r="F47" s="34" t="str">
        <f>'Translate&amp;Prices&amp;Logo'!$B$585</f>
        <v>silver</v>
      </c>
      <c r="G47" s="34" t="str">
        <f t="shared" si="10"/>
        <v>104719 - Inset with spring and damping - silver</v>
      </c>
      <c r="H47" s="35" t="s">
        <v>1103</v>
      </c>
      <c r="I47" s="35">
        <v>104719</v>
      </c>
      <c r="J47" s="35" t="s">
        <v>1103</v>
      </c>
      <c r="K47" s="35">
        <v>106403</v>
      </c>
      <c r="L47" s="35" t="str">
        <f t="shared" si="2"/>
        <v>cross screw - 106403</v>
      </c>
      <c r="M47" s="35" t="s">
        <v>2122</v>
      </c>
      <c r="N47" s="35" t="str">
        <f t="shared" si="3"/>
        <v>on screw (w/ cam adjust) - N/A</v>
      </c>
      <c r="O47" s="35">
        <v>119240</v>
      </c>
      <c r="P47" s="35" t="str">
        <f t="shared" si="4"/>
        <v>euroscrew - 119240</v>
      </c>
      <c r="Q47" s="35">
        <v>136276</v>
      </c>
      <c r="R47" s="35" t="str">
        <f t="shared" si="5"/>
        <v>expando - 136276</v>
      </c>
      <c r="S47" s="35">
        <v>300319</v>
      </c>
      <c r="T47" s="35" t="str">
        <f t="shared" si="6"/>
        <v>direct screw - 300319</v>
      </c>
      <c r="U47" s="35" t="s">
        <v>2122</v>
      </c>
      <c r="V47" s="35" t="str">
        <f t="shared" si="7"/>
        <v>direct euroscrew - N/A</v>
      </c>
      <c r="W47" s="35" t="s">
        <v>2122</v>
      </c>
      <c r="X47" s="35" t="str">
        <f t="shared" si="8"/>
        <v>direct expando - N/A</v>
      </c>
      <c r="Y47" s="34"/>
      <c r="Z47" s="34"/>
    </row>
    <row r="48" spans="1:26" ht="15">
      <c r="A48" s="34" t="s">
        <v>1105</v>
      </c>
      <c r="B48" s="34" t="s">
        <v>567</v>
      </c>
      <c r="C48" s="34" t="str">
        <f>'Translate&amp;Prices&amp;Logo'!B555</f>
        <v>Inset</v>
      </c>
      <c r="D48" s="32" t="str">
        <f t="shared" si="0"/>
        <v>široký_HETTICH_Vložený</v>
      </c>
      <c r="E48" s="34" t="str">
        <f>'Translate&amp;Prices&amp;Logo'!$B$582</f>
        <v>with spring and damping</v>
      </c>
      <c r="F48" s="34" t="str">
        <f>'Translate&amp;Prices&amp;Logo'!$B$586</f>
        <v>black</v>
      </c>
      <c r="G48" s="34" t="str">
        <f t="shared" si="10"/>
        <v>344693 - Inset with spring and damping - black</v>
      </c>
      <c r="H48" s="35" t="s">
        <v>1103</v>
      </c>
      <c r="I48" s="35">
        <v>344693</v>
      </c>
      <c r="J48" s="35" t="s">
        <v>1103</v>
      </c>
      <c r="K48" s="35" t="s">
        <v>2122</v>
      </c>
      <c r="L48" s="35" t="str">
        <f t="shared" si="2"/>
        <v>cross screw - N/A</v>
      </c>
      <c r="M48" s="35" t="s">
        <v>2122</v>
      </c>
      <c r="N48" s="35" t="str">
        <f t="shared" si="3"/>
        <v>on screw (w/ cam adjust) - N/A</v>
      </c>
      <c r="O48" s="35">
        <v>344723</v>
      </c>
      <c r="P48" s="35" t="str">
        <f t="shared" si="4"/>
        <v>euroscrew - 344723</v>
      </c>
      <c r="Q48" s="35">
        <v>344727</v>
      </c>
      <c r="R48" s="35" t="str">
        <f t="shared" si="5"/>
        <v>expando - 344727</v>
      </c>
      <c r="S48" s="35">
        <v>397949</v>
      </c>
      <c r="T48" s="35" t="str">
        <f t="shared" si="6"/>
        <v>direct screw - 397949</v>
      </c>
      <c r="U48" s="35" t="s">
        <v>2122</v>
      </c>
      <c r="V48" s="35" t="str">
        <f t="shared" si="7"/>
        <v>direct euroscrew - N/A</v>
      </c>
      <c r="W48" s="35" t="s">
        <v>2122</v>
      </c>
      <c r="X48" s="35" t="str">
        <f t="shared" si="8"/>
        <v>direct expando - N/A</v>
      </c>
      <c r="Y48" s="34"/>
      <c r="Z48" s="34"/>
    </row>
    <row r="49" spans="1:26" ht="15">
      <c r="A49" s="34" t="s">
        <v>1105</v>
      </c>
      <c r="B49" s="34" t="s">
        <v>567</v>
      </c>
      <c r="C49" s="34" t="str">
        <f>'Translate&amp;Prices&amp;Logo'!B555</f>
        <v>Inset</v>
      </c>
      <c r="D49" s="32" t="str">
        <f t="shared" si="0"/>
        <v>široký_HETTICH_Vložený</v>
      </c>
      <c r="E49" s="34" t="str">
        <f>'Translate&amp;Prices&amp;Logo'!$B$583</f>
        <v>without damping</v>
      </c>
      <c r="F49" s="34" t="str">
        <f>'Translate&amp;Prices&amp;Logo'!$B$585</f>
        <v>silver</v>
      </c>
      <c r="G49" s="34" t="str">
        <f t="shared" si="10"/>
        <v>232348 - Inset without damping - silver</v>
      </c>
      <c r="H49" s="35" t="s">
        <v>1103</v>
      </c>
      <c r="I49" s="35">
        <v>232348</v>
      </c>
      <c r="J49" s="35" t="s">
        <v>1103</v>
      </c>
      <c r="K49" s="35">
        <v>106403</v>
      </c>
      <c r="L49" s="35" t="str">
        <f t="shared" si="2"/>
        <v>cross screw - 106403</v>
      </c>
      <c r="M49" s="35" t="s">
        <v>2122</v>
      </c>
      <c r="N49" s="35" t="str">
        <f t="shared" si="3"/>
        <v>on screw (w/ cam adjust) - N/A</v>
      </c>
      <c r="O49" s="35">
        <v>119240</v>
      </c>
      <c r="P49" s="35" t="str">
        <f t="shared" si="4"/>
        <v>euroscrew - 119240</v>
      </c>
      <c r="Q49" s="35">
        <v>136276</v>
      </c>
      <c r="R49" s="35" t="str">
        <f t="shared" si="5"/>
        <v>expando - 136276</v>
      </c>
      <c r="S49" s="35">
        <v>300319</v>
      </c>
      <c r="T49" s="35" t="str">
        <f t="shared" si="6"/>
        <v>direct screw - 300319</v>
      </c>
      <c r="U49" s="35" t="s">
        <v>2122</v>
      </c>
      <c r="V49" s="35" t="str">
        <f t="shared" si="7"/>
        <v>direct euroscrew - N/A</v>
      </c>
      <c r="W49" s="35" t="s">
        <v>2122</v>
      </c>
      <c r="X49" s="35" t="str">
        <f t="shared" si="8"/>
        <v>direct expando - N/A</v>
      </c>
      <c r="Y49" s="34"/>
      <c r="Z49" s="34"/>
    </row>
    <row r="50" spans="1:26" ht="15">
      <c r="A50" s="34" t="s">
        <v>1105</v>
      </c>
      <c r="B50" s="34" t="s">
        <v>567</v>
      </c>
      <c r="C50" s="34" t="str">
        <f>'Translate&amp;Prices&amp;Logo'!B555</f>
        <v>Inset</v>
      </c>
      <c r="D50" s="32" t="str">
        <f t="shared" si="0"/>
        <v>široký_HETTICH_Vložený</v>
      </c>
      <c r="E50" s="34" t="str">
        <f>'Translate&amp;Prices&amp;Logo'!$B$584</f>
        <v>tip-on without spring / damping</v>
      </c>
      <c r="F50" s="34" t="str">
        <f>'Translate&amp;Prices&amp;Logo'!$B$585</f>
        <v>silver</v>
      </c>
      <c r="G50" s="34" t="str">
        <f t="shared" si="10"/>
        <v>245725 - Inset tip-on without spring / damping - silver</v>
      </c>
      <c r="H50" s="35" t="s">
        <v>1103</v>
      </c>
      <c r="I50" s="35">
        <v>245725</v>
      </c>
      <c r="J50" s="35" t="s">
        <v>1103</v>
      </c>
      <c r="K50" s="35">
        <v>106403</v>
      </c>
      <c r="L50" s="35" t="str">
        <f t="shared" si="2"/>
        <v>cross screw - 106403</v>
      </c>
      <c r="M50" s="35" t="s">
        <v>2122</v>
      </c>
      <c r="N50" s="35" t="str">
        <f t="shared" si="3"/>
        <v>on screw (w/ cam adjust) - N/A</v>
      </c>
      <c r="O50" s="35">
        <v>119240</v>
      </c>
      <c r="P50" s="35" t="str">
        <f t="shared" si="4"/>
        <v>euroscrew - 119240</v>
      </c>
      <c r="Q50" s="35">
        <v>136276</v>
      </c>
      <c r="R50" s="35" t="str">
        <f t="shared" si="5"/>
        <v>expando - 136276</v>
      </c>
      <c r="S50" s="35">
        <v>300319</v>
      </c>
      <c r="T50" s="35" t="str">
        <f t="shared" si="6"/>
        <v>direct screw - 300319</v>
      </c>
      <c r="U50" s="35" t="s">
        <v>2122</v>
      </c>
      <c r="V50" s="35" t="str">
        <f t="shared" si="7"/>
        <v>direct euroscrew - N/A</v>
      </c>
      <c r="W50" s="35" t="s">
        <v>2122</v>
      </c>
      <c r="X50" s="35" t="str">
        <f t="shared" si="8"/>
        <v>direct expando - N/A</v>
      </c>
      <c r="Y50" s="34"/>
      <c r="Z50" s="34"/>
    </row>
    <row r="51" spans="1:26" ht="15">
      <c r="A51" s="34" t="s">
        <v>1105</v>
      </c>
      <c r="B51" s="34" t="s">
        <v>567</v>
      </c>
      <c r="C51" s="34" t="str">
        <f>'Translate&amp;Prices&amp;Logo'!B555</f>
        <v>Inset</v>
      </c>
      <c r="D51" s="32" t="str">
        <f t="shared" si="0"/>
        <v>široký_HETTICH_Vložený</v>
      </c>
      <c r="E51" s="34" t="str">
        <f>'Translate&amp;Prices&amp;Logo'!$B$584</f>
        <v>tip-on without spring / damping</v>
      </c>
      <c r="F51" s="34" t="str">
        <f>'Translate&amp;Prices&amp;Logo'!$B$586</f>
        <v>black</v>
      </c>
      <c r="G51" s="34" t="str">
        <f t="shared" si="10"/>
        <v>344696 - Inset tip-on without spring / damping - black</v>
      </c>
      <c r="H51" s="35" t="s">
        <v>1103</v>
      </c>
      <c r="I51" s="35">
        <v>344696</v>
      </c>
      <c r="J51" s="35" t="s">
        <v>1103</v>
      </c>
      <c r="K51" s="35" t="s">
        <v>2122</v>
      </c>
      <c r="L51" s="35" t="str">
        <f t="shared" si="2"/>
        <v>cross screw - N/A</v>
      </c>
      <c r="M51" s="35" t="s">
        <v>2122</v>
      </c>
      <c r="N51" s="35" t="str">
        <f t="shared" si="3"/>
        <v>on screw (w/ cam adjust) - N/A</v>
      </c>
      <c r="O51" s="35">
        <v>344723</v>
      </c>
      <c r="P51" s="35" t="str">
        <f t="shared" si="4"/>
        <v>euroscrew - 344723</v>
      </c>
      <c r="Q51" s="35">
        <v>344727</v>
      </c>
      <c r="R51" s="35" t="str">
        <f t="shared" si="5"/>
        <v>expando - 344727</v>
      </c>
      <c r="S51" s="35">
        <v>397949</v>
      </c>
      <c r="T51" s="35" t="str">
        <f t="shared" si="6"/>
        <v>direct screw - 397949</v>
      </c>
      <c r="U51" s="35" t="s">
        <v>2122</v>
      </c>
      <c r="V51" s="35" t="str">
        <f t="shared" si="7"/>
        <v>direct euroscrew - N/A</v>
      </c>
      <c r="W51" s="35" t="s">
        <v>2122</v>
      </c>
      <c r="X51" s="35" t="str">
        <f t="shared" si="8"/>
        <v>direct expando - N/A</v>
      </c>
      <c r="Y51" s="34"/>
      <c r="Z51" s="34"/>
    </row>
    <row r="52" spans="1:26" ht="15">
      <c r="A52" s="37" t="s">
        <v>1105</v>
      </c>
      <c r="B52" s="37" t="s">
        <v>57</v>
      </c>
      <c r="C52" s="37" t="str">
        <f>'Translate&amp;Prices&amp;Logo'!B553</f>
        <v>Overlay</v>
      </c>
      <c r="D52" s="32" t="str">
        <f t="shared" si="0"/>
        <v>široký_STRONG_Naložený</v>
      </c>
      <c r="E52" s="37" t="str">
        <f>'Translate&amp;Prices&amp;Logo'!$B$582</f>
        <v>with spring and damping</v>
      </c>
      <c r="F52" s="34" t="str">
        <f>'Translate&amp;Prices&amp;Logo'!$B$585</f>
        <v>silver</v>
      </c>
      <c r="G52" s="34" t="str">
        <f t="shared" si="10"/>
        <v>92580T - Overlay with spring and damping - silver</v>
      </c>
      <c r="H52" s="35" t="s">
        <v>1103</v>
      </c>
      <c r="I52" s="35" t="s">
        <v>59</v>
      </c>
      <c r="J52" s="35" t="s">
        <v>1103</v>
      </c>
      <c r="K52" s="35" t="s">
        <v>58</v>
      </c>
      <c r="L52" s="35" t="str">
        <f>CONCATENATE($K$1," - ",K52)</f>
        <v>cross screw - 92590T</v>
      </c>
      <c r="M52" s="35" t="s">
        <v>62</v>
      </c>
      <c r="N52" s="35" t="str">
        <f t="shared" si="3"/>
        <v>on screw (w/ cam adjust) - 92594T</v>
      </c>
      <c r="O52" s="35" t="s">
        <v>63</v>
      </c>
      <c r="P52" s="35" t="str">
        <f t="shared" si="4"/>
        <v>euroscrew - 92591T</v>
      </c>
      <c r="Q52" s="35" t="s">
        <v>2122</v>
      </c>
      <c r="R52" s="35" t="str">
        <f t="shared" si="5"/>
        <v>expando - N/A</v>
      </c>
      <c r="S52" s="35" t="s">
        <v>2122</v>
      </c>
      <c r="T52" s="35" t="str">
        <f t="shared" si="6"/>
        <v>direct screw - N/A</v>
      </c>
      <c r="U52" s="35" t="s">
        <v>2122</v>
      </c>
      <c r="V52" s="35" t="str">
        <f t="shared" si="7"/>
        <v>direct euroscrew - N/A</v>
      </c>
      <c r="W52" s="35" t="s">
        <v>2122</v>
      </c>
      <c r="X52" s="35" t="str">
        <f t="shared" si="8"/>
        <v>direct expando - N/A</v>
      </c>
      <c r="Y52" s="34"/>
      <c r="Z52" s="34"/>
    </row>
    <row r="53" spans="1:26" ht="15">
      <c r="A53" s="37" t="s">
        <v>1105</v>
      </c>
      <c r="B53" s="37" t="s">
        <v>57</v>
      </c>
      <c r="C53" s="37" t="str">
        <f>'Translate&amp;Prices&amp;Logo'!B553</f>
        <v>Overlay</v>
      </c>
      <c r="D53" s="32" t="str">
        <f t="shared" si="0"/>
        <v>široký_STRONG_Naložený</v>
      </c>
      <c r="E53" s="37" t="str">
        <f>'Translate&amp;Prices&amp;Logo'!$B$583</f>
        <v>without damping</v>
      </c>
      <c r="F53" s="34" t="str">
        <f>'Translate&amp;Prices&amp;Logo'!$B$585</f>
        <v>silver</v>
      </c>
      <c r="G53" s="34" t="str">
        <f t="shared" si="10"/>
        <v>198818 - Overlay without damping - silver</v>
      </c>
      <c r="H53" s="35" t="s">
        <v>1103</v>
      </c>
      <c r="I53" s="35">
        <v>198818</v>
      </c>
      <c r="J53" s="35" t="s">
        <v>1103</v>
      </c>
      <c r="K53" s="35" t="s">
        <v>58</v>
      </c>
      <c r="L53" s="35" t="str">
        <f>CONCATENATE($K$1," - ",K53)</f>
        <v>cross screw - 92590T</v>
      </c>
      <c r="M53" s="35" t="s">
        <v>62</v>
      </c>
      <c r="N53" s="35" t="str">
        <f t="shared" si="3"/>
        <v>on screw (w/ cam adjust) - 92594T</v>
      </c>
      <c r="O53" s="35" t="s">
        <v>63</v>
      </c>
      <c r="P53" s="35" t="str">
        <f t="shared" si="4"/>
        <v>euroscrew - 92591T</v>
      </c>
      <c r="Q53" s="35" t="s">
        <v>2122</v>
      </c>
      <c r="R53" s="35" t="str">
        <f t="shared" si="5"/>
        <v>expando - N/A</v>
      </c>
      <c r="S53" s="35" t="s">
        <v>2122</v>
      </c>
      <c r="T53" s="35" t="str">
        <f t="shared" si="6"/>
        <v>direct screw - N/A</v>
      </c>
      <c r="U53" s="35" t="s">
        <v>2122</v>
      </c>
      <c r="V53" s="35" t="str">
        <f t="shared" si="7"/>
        <v>direct euroscrew - N/A</v>
      </c>
      <c r="W53" s="35" t="s">
        <v>2122</v>
      </c>
      <c r="X53" s="35" t="str">
        <f t="shared" si="8"/>
        <v>direct expando - N/A</v>
      </c>
      <c r="Y53" s="34"/>
      <c r="Z53" s="34"/>
    </row>
    <row r="54" spans="1:26" ht="15">
      <c r="A54" s="34" t="s">
        <v>1105</v>
      </c>
      <c r="B54" s="34" t="s">
        <v>57</v>
      </c>
      <c r="C54" s="34" t="str">
        <f>'Translate&amp;Prices&amp;Logo'!B554</f>
        <v>Half-overlay</v>
      </c>
      <c r="D54" s="32" t="str">
        <f t="shared" si="0"/>
        <v>široký_STRONG_Polonaložený</v>
      </c>
      <c r="E54" s="34" t="str">
        <f>'Translate&amp;Prices&amp;Logo'!$B$582</f>
        <v>with spring and damping</v>
      </c>
      <c r="F54" s="34" t="str">
        <f>'Translate&amp;Prices&amp;Logo'!$B$585</f>
        <v>silver</v>
      </c>
      <c r="G54" s="34" t="str">
        <f t="shared" si="10"/>
        <v>92581T - Half-overlay with spring and damping - silver</v>
      </c>
      <c r="H54" s="35" t="s">
        <v>1103</v>
      </c>
      <c r="I54" s="35" t="s">
        <v>60</v>
      </c>
      <c r="J54" s="35" t="s">
        <v>1103</v>
      </c>
      <c r="K54" s="35" t="s">
        <v>58</v>
      </c>
      <c r="L54" s="35" t="str">
        <f>CONCATENATE($K$1," - ",K54)</f>
        <v>cross screw - 92590T</v>
      </c>
      <c r="M54" s="35" t="s">
        <v>62</v>
      </c>
      <c r="N54" s="35" t="str">
        <f t="shared" si="3"/>
        <v>on screw (w/ cam adjust) - 92594T</v>
      </c>
      <c r="O54" s="35" t="s">
        <v>63</v>
      </c>
      <c r="P54" s="35" t="str">
        <f t="shared" si="4"/>
        <v>euroscrew - 92591T</v>
      </c>
      <c r="Q54" s="35" t="s">
        <v>2122</v>
      </c>
      <c r="R54" s="35" t="str">
        <f t="shared" si="5"/>
        <v>expando - N/A</v>
      </c>
      <c r="S54" s="35" t="s">
        <v>2122</v>
      </c>
      <c r="T54" s="35" t="str">
        <f t="shared" si="6"/>
        <v>direct screw - N/A</v>
      </c>
      <c r="U54" s="35" t="s">
        <v>2122</v>
      </c>
      <c r="V54" s="35" t="str">
        <f t="shared" si="7"/>
        <v>direct euroscrew - N/A</v>
      </c>
      <c r="W54" s="35" t="s">
        <v>2122</v>
      </c>
      <c r="X54" s="35" t="str">
        <f t="shared" si="8"/>
        <v>direct expando - N/A</v>
      </c>
      <c r="Y54" s="34"/>
      <c r="Z54" s="34"/>
    </row>
    <row r="55" spans="1:26" ht="15">
      <c r="A55" s="34" t="s">
        <v>1105</v>
      </c>
      <c r="B55" s="34" t="s">
        <v>57</v>
      </c>
      <c r="C55" s="34" t="str">
        <f>'Translate&amp;Prices&amp;Logo'!B554</f>
        <v>Half-overlay</v>
      </c>
      <c r="D55" s="32" t="str">
        <f t="shared" si="0"/>
        <v>široký_STRONG_Polonaložený</v>
      </c>
      <c r="E55" s="34" t="str">
        <f>'Translate&amp;Prices&amp;Logo'!$B$583</f>
        <v>without damping</v>
      </c>
      <c r="F55" s="34" t="str">
        <f>'Translate&amp;Prices&amp;Logo'!$B$585</f>
        <v>silver</v>
      </c>
      <c r="G55" s="34" t="str">
        <f t="shared" si="10"/>
        <v>198819 - Half-overlay without damping - silver</v>
      </c>
      <c r="H55" s="35" t="s">
        <v>1103</v>
      </c>
      <c r="I55" s="35">
        <v>198819</v>
      </c>
      <c r="J55" s="35" t="s">
        <v>1103</v>
      </c>
      <c r="K55" s="35" t="s">
        <v>58</v>
      </c>
      <c r="L55" s="35" t="str">
        <f>CONCATENATE($K$1," - ",K55)</f>
        <v>cross screw - 92590T</v>
      </c>
      <c r="M55" s="35" t="s">
        <v>62</v>
      </c>
      <c r="N55" s="35" t="str">
        <f t="shared" si="3"/>
        <v>on screw (w/ cam adjust) - 92594T</v>
      </c>
      <c r="O55" s="35" t="s">
        <v>63</v>
      </c>
      <c r="P55" s="35" t="str">
        <f t="shared" si="4"/>
        <v>euroscrew - 92591T</v>
      </c>
      <c r="Q55" s="35" t="s">
        <v>2122</v>
      </c>
      <c r="R55" s="35" t="str">
        <f t="shared" si="5"/>
        <v>expando - N/A</v>
      </c>
      <c r="S55" s="35" t="s">
        <v>2122</v>
      </c>
      <c r="T55" s="35" t="str">
        <f t="shared" si="6"/>
        <v>direct screw - N/A</v>
      </c>
      <c r="U55" s="35" t="s">
        <v>2122</v>
      </c>
      <c r="V55" s="35" t="str">
        <f t="shared" si="7"/>
        <v>direct euroscrew - N/A</v>
      </c>
      <c r="W55" s="35" t="s">
        <v>2122</v>
      </c>
      <c r="X55" s="35" t="str">
        <f t="shared" si="8"/>
        <v>direct expando - N/A</v>
      </c>
      <c r="Y55" s="34"/>
      <c r="Z55" s="34"/>
    </row>
    <row r="56" spans="1:26" ht="15">
      <c r="A56" s="37" t="s">
        <v>1105</v>
      </c>
      <c r="B56" s="37" t="s">
        <v>57</v>
      </c>
      <c r="C56" s="37" t="str">
        <f>'Translate&amp;Prices&amp;Logo'!B555</f>
        <v>Inset</v>
      </c>
      <c r="D56" s="32" t="str">
        <f t="shared" si="0"/>
        <v>široký_STRONG_Vložený</v>
      </c>
      <c r="E56" s="37" t="str">
        <f>'Translate&amp;Prices&amp;Logo'!$B$582</f>
        <v>with spring and damping</v>
      </c>
      <c r="F56" s="34" t="str">
        <f>'Translate&amp;Prices&amp;Logo'!$B$585</f>
        <v>silver</v>
      </c>
      <c r="G56" s="34" t="str">
        <f t="shared" si="10"/>
        <v>92582T - Inset with spring and damping - silver</v>
      </c>
      <c r="H56" s="35" t="s">
        <v>1103</v>
      </c>
      <c r="I56" s="35" t="s">
        <v>61</v>
      </c>
      <c r="J56" s="35" t="s">
        <v>1103</v>
      </c>
      <c r="K56" s="35" t="s">
        <v>77</v>
      </c>
      <c r="L56" s="35" t="str">
        <f t="shared" si="2"/>
        <v>cross screw - 92592T</v>
      </c>
      <c r="M56" s="35">
        <v>397954</v>
      </c>
      <c r="N56" s="35" t="str">
        <f t="shared" si="3"/>
        <v>on screw (w/ cam adjust) - 397954</v>
      </c>
      <c r="O56" s="35" t="s">
        <v>76</v>
      </c>
      <c r="P56" s="35" t="str">
        <f t="shared" si="4"/>
        <v>euroscrew - 92593T</v>
      </c>
      <c r="Q56" s="35" t="s">
        <v>2122</v>
      </c>
      <c r="R56" s="35" t="str">
        <f t="shared" si="5"/>
        <v>expando - N/A</v>
      </c>
      <c r="S56" s="35" t="s">
        <v>2122</v>
      </c>
      <c r="T56" s="35" t="str">
        <f t="shared" si="6"/>
        <v>direct screw - N/A</v>
      </c>
      <c r="U56" s="35" t="s">
        <v>2122</v>
      </c>
      <c r="V56" s="35" t="str">
        <f t="shared" si="7"/>
        <v>direct euroscrew - N/A</v>
      </c>
      <c r="W56" s="35" t="s">
        <v>2122</v>
      </c>
      <c r="X56" s="35" t="str">
        <f t="shared" si="8"/>
        <v>direct expando - N/A</v>
      </c>
      <c r="Y56" s="34"/>
      <c r="Z56" s="34"/>
    </row>
    <row r="57" spans="1:26" ht="15">
      <c r="A57" s="37" t="s">
        <v>1105</v>
      </c>
      <c r="B57" s="37" t="s">
        <v>57</v>
      </c>
      <c r="C57" s="37" t="str">
        <f>'Translate&amp;Prices&amp;Logo'!B555</f>
        <v>Inset</v>
      </c>
      <c r="D57" s="32" t="str">
        <f t="shared" si="0"/>
        <v>široký_STRONG_Vložený</v>
      </c>
      <c r="E57" s="37" t="str">
        <f>'Translate&amp;Prices&amp;Logo'!$B$583</f>
        <v>without damping</v>
      </c>
      <c r="F57" s="34" t="str">
        <f>'Translate&amp;Prices&amp;Logo'!$B$585</f>
        <v>silver</v>
      </c>
      <c r="G57" s="34" t="str">
        <f t="shared" si="10"/>
        <v>198820 - Inset without damping - silver</v>
      </c>
      <c r="H57" s="35" t="s">
        <v>1103</v>
      </c>
      <c r="I57" s="35">
        <v>198820</v>
      </c>
      <c r="J57" s="35" t="s">
        <v>1103</v>
      </c>
      <c r="K57" s="35" t="s">
        <v>77</v>
      </c>
      <c r="L57" s="35" t="str">
        <f t="shared" si="2"/>
        <v>cross screw - 92592T</v>
      </c>
      <c r="M57" s="35">
        <v>397954</v>
      </c>
      <c r="N57" s="35" t="str">
        <f t="shared" si="3"/>
        <v>on screw (w/ cam adjust) - 397954</v>
      </c>
      <c r="O57" s="35" t="s">
        <v>76</v>
      </c>
      <c r="P57" s="35" t="str">
        <f t="shared" si="4"/>
        <v>euroscrew - 92593T</v>
      </c>
      <c r="Q57" s="35" t="s">
        <v>2122</v>
      </c>
      <c r="R57" s="35" t="str">
        <f t="shared" si="5"/>
        <v>expando - N/A</v>
      </c>
      <c r="S57" s="35" t="s">
        <v>2122</v>
      </c>
      <c r="T57" s="35" t="str">
        <f t="shared" si="6"/>
        <v>direct screw - N/A</v>
      </c>
      <c r="U57" s="35" t="s">
        <v>2122</v>
      </c>
      <c r="V57" s="35" t="str">
        <f t="shared" si="7"/>
        <v>direct euroscrew - N/A</v>
      </c>
      <c r="W57" s="35" t="s">
        <v>2122</v>
      </c>
      <c r="X57" s="35" t="str">
        <f t="shared" si="8"/>
        <v>direct expando - N/A</v>
      </c>
      <c r="Y57" s="34"/>
      <c r="Z57" s="34"/>
    </row>
    <row r="58" spans="1:26" ht="15">
      <c r="A58" s="34" t="s">
        <v>1105</v>
      </c>
      <c r="B58" s="34" t="s">
        <v>2352</v>
      </c>
      <c r="C58" s="34" t="str">
        <f>'Translate&amp;Prices&amp;Logo'!B553</f>
        <v>Overlay</v>
      </c>
      <c r="D58" s="32" t="str">
        <f t="shared" si="0"/>
        <v>široký_STRONGHINGES_Naložený</v>
      </c>
      <c r="E58" s="34" t="str">
        <f>'Translate&amp;Prices&amp;Logo'!$B$582</f>
        <v>with spring and damping</v>
      </c>
      <c r="F58" s="34" t="str">
        <f>'Translate&amp;Prices&amp;Logo'!$B$585</f>
        <v>silver</v>
      </c>
      <c r="G58" s="34" t="str">
        <f t="shared" si="10"/>
        <v>350827 - Overlay with spring and damping - silver</v>
      </c>
      <c r="H58" s="35" t="s">
        <v>1103</v>
      </c>
      <c r="I58" s="35">
        <v>350827</v>
      </c>
      <c r="J58" s="35" t="s">
        <v>1103</v>
      </c>
      <c r="K58" s="35">
        <v>92596</v>
      </c>
      <c r="L58" s="35" t="str">
        <f t="shared" si="2"/>
        <v>cross screw - 92596</v>
      </c>
      <c r="M58" s="35">
        <v>315856</v>
      </c>
      <c r="N58" s="35" t="str">
        <f t="shared" si="3"/>
        <v>on screw (w/ cam adjust) - 315856</v>
      </c>
      <c r="O58" s="35">
        <v>92597</v>
      </c>
      <c r="P58" s="35" t="str">
        <f t="shared" si="4"/>
        <v>euroscrew - 92597</v>
      </c>
      <c r="Q58" s="35" t="s">
        <v>2122</v>
      </c>
      <c r="R58" s="35" t="str">
        <f t="shared" si="5"/>
        <v>expando - N/A</v>
      </c>
      <c r="S58" s="35" t="s">
        <v>2122</v>
      </c>
      <c r="T58" s="35" t="str">
        <f t="shared" si="6"/>
        <v>direct screw - N/A</v>
      </c>
      <c r="U58" s="35" t="s">
        <v>2122</v>
      </c>
      <c r="V58" s="35" t="str">
        <f t="shared" si="7"/>
        <v>direct euroscrew - N/A</v>
      </c>
      <c r="W58" s="35" t="s">
        <v>2122</v>
      </c>
      <c r="X58" s="35" t="str">
        <f t="shared" si="8"/>
        <v>direct expando - N/A</v>
      </c>
      <c r="Y58" s="34"/>
      <c r="Z58" s="34"/>
    </row>
    <row r="59" spans="1:26" ht="15">
      <c r="A59" s="34" t="s">
        <v>1105</v>
      </c>
      <c r="B59" s="34" t="s">
        <v>2352</v>
      </c>
      <c r="C59" s="34" t="str">
        <f>'Translate&amp;Prices&amp;Logo'!B553</f>
        <v>Overlay</v>
      </c>
      <c r="D59" s="32" t="str">
        <f t="shared" si="0"/>
        <v>široký_STRONGHINGES_Naložený</v>
      </c>
      <c r="E59" s="34" t="str">
        <f>'Translate&amp;Prices&amp;Logo'!$B$583</f>
        <v>without damping</v>
      </c>
      <c r="F59" s="34" t="str">
        <f>'Translate&amp;Prices&amp;Logo'!$B$585</f>
        <v>silver</v>
      </c>
      <c r="G59" s="34" t="str">
        <f t="shared" si="10"/>
        <v>350834 - Overlay without damping - silver</v>
      </c>
      <c r="H59" s="35" t="s">
        <v>1103</v>
      </c>
      <c r="I59" s="35">
        <v>350834</v>
      </c>
      <c r="J59" s="35" t="s">
        <v>1103</v>
      </c>
      <c r="K59" s="35">
        <v>92596</v>
      </c>
      <c r="L59" s="35" t="str">
        <f t="shared" si="2"/>
        <v>cross screw - 92596</v>
      </c>
      <c r="M59" s="35">
        <v>315856</v>
      </c>
      <c r="N59" s="35" t="str">
        <f t="shared" si="3"/>
        <v>on screw (w/ cam adjust) - 315856</v>
      </c>
      <c r="O59" s="35">
        <v>92597</v>
      </c>
      <c r="P59" s="35" t="str">
        <f t="shared" si="4"/>
        <v>euroscrew - 92597</v>
      </c>
      <c r="Q59" s="35" t="s">
        <v>2122</v>
      </c>
      <c r="R59" s="35" t="str">
        <f t="shared" si="5"/>
        <v>expando - N/A</v>
      </c>
      <c r="S59" s="35" t="s">
        <v>2122</v>
      </c>
      <c r="T59" s="35" t="str">
        <f t="shared" si="6"/>
        <v>direct screw - N/A</v>
      </c>
      <c r="U59" s="35" t="s">
        <v>2122</v>
      </c>
      <c r="V59" s="35" t="str">
        <f t="shared" si="7"/>
        <v>direct euroscrew - N/A</v>
      </c>
      <c r="W59" s="35" t="s">
        <v>2122</v>
      </c>
      <c r="X59" s="35" t="str">
        <f t="shared" si="8"/>
        <v>direct expando - N/A</v>
      </c>
      <c r="Y59" s="34"/>
      <c r="Z59" s="34"/>
    </row>
    <row r="60" spans="1:26" ht="15">
      <c r="A60" s="34" t="s">
        <v>1105</v>
      </c>
      <c r="B60" s="34" t="s">
        <v>2352</v>
      </c>
      <c r="C60" s="34" t="str">
        <f>'Translate&amp;Prices&amp;Logo'!B553</f>
        <v>Overlay</v>
      </c>
      <c r="D60" s="32" t="str">
        <f t="shared" si="0"/>
        <v>široký_STRONGHINGES_Naložený</v>
      </c>
      <c r="E60" s="34" t="str">
        <f>'Translate&amp;Prices&amp;Logo'!$B$584</f>
        <v>tip-on without spring / damping</v>
      </c>
      <c r="F60" s="34" t="str">
        <f>'Translate&amp;Prices&amp;Logo'!$B$585</f>
        <v>silver</v>
      </c>
      <c r="G60" s="34" t="str">
        <f t="shared" si="10"/>
        <v>350837 - Overlay tip-on without spring / damping - silver</v>
      </c>
      <c r="H60" s="35" t="s">
        <v>1103</v>
      </c>
      <c r="I60" s="35">
        <v>350837</v>
      </c>
      <c r="J60" s="35" t="s">
        <v>1103</v>
      </c>
      <c r="K60" s="35">
        <v>92596</v>
      </c>
      <c r="L60" s="35" t="str">
        <f t="shared" si="2"/>
        <v>cross screw - 92596</v>
      </c>
      <c r="M60" s="35">
        <v>315856</v>
      </c>
      <c r="N60" s="35" t="str">
        <f t="shared" si="3"/>
        <v>on screw (w/ cam adjust) - 315856</v>
      </c>
      <c r="O60" s="35">
        <v>92597</v>
      </c>
      <c r="P60" s="35" t="str">
        <f t="shared" si="4"/>
        <v>euroscrew - 92597</v>
      </c>
      <c r="Q60" s="35" t="s">
        <v>2122</v>
      </c>
      <c r="R60" s="35" t="str">
        <f t="shared" si="5"/>
        <v>expando - N/A</v>
      </c>
      <c r="S60" s="35" t="s">
        <v>2122</v>
      </c>
      <c r="T60" s="35" t="str">
        <f t="shared" si="6"/>
        <v>direct screw - N/A</v>
      </c>
      <c r="U60" s="35" t="s">
        <v>2122</v>
      </c>
      <c r="V60" s="35" t="str">
        <f t="shared" si="7"/>
        <v>direct euroscrew - N/A</v>
      </c>
      <c r="W60" s="35" t="s">
        <v>2122</v>
      </c>
      <c r="X60" s="35" t="str">
        <f t="shared" si="8"/>
        <v>direct expando - N/A</v>
      </c>
      <c r="Y60" s="34"/>
      <c r="Z60" s="34"/>
    </row>
    <row r="61" spans="1:26" ht="15">
      <c r="A61" s="37" t="s">
        <v>1105</v>
      </c>
      <c r="B61" s="34" t="s">
        <v>2352</v>
      </c>
      <c r="C61" s="37" t="str">
        <f>'Translate&amp;Prices&amp;Logo'!B554</f>
        <v>Half-overlay</v>
      </c>
      <c r="D61" s="32" t="str">
        <f t="shared" si="0"/>
        <v>široký_STRONGHINGES_Polonaložený</v>
      </c>
      <c r="E61" s="37" t="str">
        <f>'Translate&amp;Prices&amp;Logo'!$B$582</f>
        <v>with spring and damping</v>
      </c>
      <c r="F61" s="34" t="str">
        <f>'Translate&amp;Prices&amp;Logo'!$B$585</f>
        <v>silver</v>
      </c>
      <c r="G61" s="34" t="str">
        <f t="shared" si="10"/>
        <v>350828 - Half-overlay with spring and damping - silver</v>
      </c>
      <c r="H61" s="35" t="s">
        <v>1103</v>
      </c>
      <c r="I61" s="35">
        <v>350828</v>
      </c>
      <c r="J61" s="35" t="s">
        <v>1103</v>
      </c>
      <c r="K61" s="35">
        <v>92596</v>
      </c>
      <c r="L61" s="35" t="str">
        <f t="shared" si="2"/>
        <v>cross screw - 92596</v>
      </c>
      <c r="M61" s="35">
        <v>315856</v>
      </c>
      <c r="N61" s="35" t="str">
        <f t="shared" si="3"/>
        <v>on screw (w/ cam adjust) - 315856</v>
      </c>
      <c r="O61" s="35">
        <v>92597</v>
      </c>
      <c r="P61" s="35" t="str">
        <f t="shared" si="4"/>
        <v>euroscrew - 92597</v>
      </c>
      <c r="Q61" s="35" t="s">
        <v>2122</v>
      </c>
      <c r="R61" s="35" t="str">
        <f t="shared" si="5"/>
        <v>expando - N/A</v>
      </c>
      <c r="S61" s="35" t="s">
        <v>2122</v>
      </c>
      <c r="T61" s="35" t="str">
        <f t="shared" si="6"/>
        <v>direct screw - N/A</v>
      </c>
      <c r="U61" s="35" t="s">
        <v>2122</v>
      </c>
      <c r="V61" s="35" t="str">
        <f t="shared" si="7"/>
        <v>direct euroscrew - N/A</v>
      </c>
      <c r="W61" s="35" t="s">
        <v>2122</v>
      </c>
      <c r="X61" s="35" t="str">
        <f t="shared" si="8"/>
        <v>direct expando - N/A</v>
      </c>
      <c r="Y61" s="34"/>
      <c r="Z61" s="34"/>
    </row>
    <row r="62" spans="1:26" ht="15">
      <c r="A62" s="37" t="s">
        <v>1105</v>
      </c>
      <c r="B62" s="34" t="s">
        <v>2352</v>
      </c>
      <c r="C62" s="37" t="str">
        <f>'Translate&amp;Prices&amp;Logo'!B554</f>
        <v>Half-overlay</v>
      </c>
      <c r="D62" s="32" t="str">
        <f t="shared" si="0"/>
        <v>široký_STRONGHINGES_Polonaložený</v>
      </c>
      <c r="E62" s="37" t="str">
        <f>'Translate&amp;Prices&amp;Logo'!$B$583</f>
        <v>without damping</v>
      </c>
      <c r="F62" s="34" t="str">
        <f>'Translate&amp;Prices&amp;Logo'!$B$585</f>
        <v>silver</v>
      </c>
      <c r="G62" s="34" t="str">
        <f t="shared" si="10"/>
        <v>350835 - Half-overlay without damping - silver</v>
      </c>
      <c r="H62" s="35" t="s">
        <v>1103</v>
      </c>
      <c r="I62" s="35">
        <v>350835</v>
      </c>
      <c r="J62" s="35" t="s">
        <v>1103</v>
      </c>
      <c r="K62" s="35">
        <v>92596</v>
      </c>
      <c r="L62" s="35" t="str">
        <f t="shared" si="2"/>
        <v>cross screw - 92596</v>
      </c>
      <c r="M62" s="35">
        <v>315856</v>
      </c>
      <c r="N62" s="35" t="str">
        <f t="shared" si="3"/>
        <v>on screw (w/ cam adjust) - 315856</v>
      </c>
      <c r="O62" s="35">
        <v>92597</v>
      </c>
      <c r="P62" s="35" t="str">
        <f t="shared" si="4"/>
        <v>euroscrew - 92597</v>
      </c>
      <c r="Q62" s="35" t="s">
        <v>2122</v>
      </c>
      <c r="R62" s="35" t="str">
        <f t="shared" si="5"/>
        <v>expando - N/A</v>
      </c>
      <c r="S62" s="35" t="s">
        <v>2122</v>
      </c>
      <c r="T62" s="35" t="str">
        <f t="shared" si="6"/>
        <v>direct screw - N/A</v>
      </c>
      <c r="U62" s="35" t="s">
        <v>2122</v>
      </c>
      <c r="V62" s="35" t="str">
        <f t="shared" si="7"/>
        <v>direct euroscrew - N/A</v>
      </c>
      <c r="W62" s="35" t="s">
        <v>2122</v>
      </c>
      <c r="X62" s="35" t="str">
        <f t="shared" si="8"/>
        <v>direct expando - N/A</v>
      </c>
      <c r="Y62" s="34"/>
      <c r="Z62" s="34"/>
    </row>
    <row r="63" spans="1:26" ht="15">
      <c r="A63" s="37" t="s">
        <v>1105</v>
      </c>
      <c r="B63" s="34" t="s">
        <v>2352</v>
      </c>
      <c r="C63" s="37" t="str">
        <f>'Translate&amp;Prices&amp;Logo'!B554</f>
        <v>Half-overlay</v>
      </c>
      <c r="D63" s="32" t="str">
        <f t="shared" si="0"/>
        <v>široký_STRONGHINGES_Polonaložený</v>
      </c>
      <c r="E63" s="37" t="str">
        <f>'Translate&amp;Prices&amp;Logo'!$B$584</f>
        <v>tip-on without spring / damping</v>
      </c>
      <c r="F63" s="34" t="str">
        <f>'Translate&amp;Prices&amp;Logo'!$B$585</f>
        <v>silver</v>
      </c>
      <c r="G63" s="34" t="str">
        <f t="shared" si="10"/>
        <v>350838 - Half-overlay tip-on without spring / damping - silver</v>
      </c>
      <c r="H63" s="35" t="s">
        <v>1103</v>
      </c>
      <c r="I63" s="35">
        <v>350838</v>
      </c>
      <c r="J63" s="35" t="s">
        <v>1103</v>
      </c>
      <c r="K63" s="35">
        <v>92596</v>
      </c>
      <c r="L63" s="35" t="str">
        <f t="shared" si="2"/>
        <v>cross screw - 92596</v>
      </c>
      <c r="M63" s="35">
        <v>315856</v>
      </c>
      <c r="N63" s="35" t="str">
        <f t="shared" si="3"/>
        <v>on screw (w/ cam adjust) - 315856</v>
      </c>
      <c r="O63" s="35">
        <v>92597</v>
      </c>
      <c r="P63" s="35" t="str">
        <f t="shared" si="4"/>
        <v>euroscrew - 92597</v>
      </c>
      <c r="Q63" s="35" t="s">
        <v>2122</v>
      </c>
      <c r="R63" s="35" t="str">
        <f t="shared" si="5"/>
        <v>expando - N/A</v>
      </c>
      <c r="S63" s="35" t="s">
        <v>2122</v>
      </c>
      <c r="T63" s="35" t="str">
        <f t="shared" si="6"/>
        <v>direct screw - N/A</v>
      </c>
      <c r="U63" s="35" t="s">
        <v>2122</v>
      </c>
      <c r="V63" s="35" t="str">
        <f t="shared" si="7"/>
        <v>direct euroscrew - N/A</v>
      </c>
      <c r="W63" s="35" t="s">
        <v>2122</v>
      </c>
      <c r="X63" s="35" t="str">
        <f t="shared" si="8"/>
        <v>direct expando - N/A</v>
      </c>
      <c r="Y63" s="34"/>
      <c r="Z63" s="34"/>
    </row>
    <row r="64" spans="1:26" ht="15">
      <c r="A64" s="34" t="s">
        <v>1105</v>
      </c>
      <c r="B64" s="34" t="s">
        <v>2352</v>
      </c>
      <c r="C64" s="34" t="str">
        <f>'Translate&amp;Prices&amp;Logo'!B555</f>
        <v>Inset</v>
      </c>
      <c r="D64" s="32" t="str">
        <f t="shared" si="0"/>
        <v>široký_STRONGHINGES_Vložený</v>
      </c>
      <c r="E64" s="34" t="str">
        <f>'Translate&amp;Prices&amp;Logo'!$B$582</f>
        <v>with spring and damping</v>
      </c>
      <c r="F64" s="34" t="str">
        <f>'Translate&amp;Prices&amp;Logo'!$B$585</f>
        <v>silver</v>
      </c>
      <c r="G64" s="34" t="str">
        <f t="shared" si="10"/>
        <v>350829 - Inset with spring and damping - silver</v>
      </c>
      <c r="H64" s="35" t="s">
        <v>1103</v>
      </c>
      <c r="I64" s="35">
        <v>350829</v>
      </c>
      <c r="J64" s="35" t="s">
        <v>1103</v>
      </c>
      <c r="K64" s="35">
        <v>92598</v>
      </c>
      <c r="L64" s="35" t="str">
        <f t="shared" si="2"/>
        <v>cross screw - 92598</v>
      </c>
      <c r="M64" s="35">
        <v>350868</v>
      </c>
      <c r="N64" s="35" t="str">
        <f t="shared" si="3"/>
        <v>on screw (w/ cam adjust) - 350868</v>
      </c>
      <c r="O64" s="35">
        <v>92599</v>
      </c>
      <c r="P64" s="35" t="str">
        <f t="shared" si="4"/>
        <v>euroscrew - 92599</v>
      </c>
      <c r="Q64" s="35" t="s">
        <v>2122</v>
      </c>
      <c r="R64" s="35" t="str">
        <f t="shared" si="5"/>
        <v>expando - N/A</v>
      </c>
      <c r="S64" s="35" t="s">
        <v>2122</v>
      </c>
      <c r="T64" s="35" t="str">
        <f t="shared" si="6"/>
        <v>direct screw - N/A</v>
      </c>
      <c r="U64" s="35" t="s">
        <v>2122</v>
      </c>
      <c r="V64" s="35" t="str">
        <f t="shared" si="7"/>
        <v>direct euroscrew - N/A</v>
      </c>
      <c r="W64" s="35" t="s">
        <v>2122</v>
      </c>
      <c r="X64" s="35" t="str">
        <f t="shared" si="8"/>
        <v>direct expando - N/A</v>
      </c>
      <c r="Y64" s="34"/>
      <c r="Z64" s="34"/>
    </row>
    <row r="65" spans="1:26" ht="15">
      <c r="A65" s="34" t="s">
        <v>1105</v>
      </c>
      <c r="B65" s="34" t="s">
        <v>2352</v>
      </c>
      <c r="C65" s="34" t="str">
        <f>'Translate&amp;Prices&amp;Logo'!B555</f>
        <v>Inset</v>
      </c>
      <c r="D65" s="32" t="str">
        <f t="shared" si="0"/>
        <v>široký_STRONGHINGES_Vložený</v>
      </c>
      <c r="E65" s="34" t="str">
        <f>'Translate&amp;Prices&amp;Logo'!$B$583</f>
        <v>without damping</v>
      </c>
      <c r="F65" s="34" t="str">
        <f>'Translate&amp;Prices&amp;Logo'!$B$585</f>
        <v>silver</v>
      </c>
      <c r="G65" s="34" t="str">
        <f t="shared" si="10"/>
        <v>350836 - Inset without damping - silver</v>
      </c>
      <c r="H65" s="35" t="s">
        <v>1103</v>
      </c>
      <c r="I65" s="35">
        <v>350836</v>
      </c>
      <c r="J65" s="35" t="s">
        <v>1103</v>
      </c>
      <c r="K65" s="35">
        <v>92598</v>
      </c>
      <c r="L65" s="35" t="str">
        <f t="shared" si="2"/>
        <v>cross screw - 92598</v>
      </c>
      <c r="M65" s="35">
        <v>350868</v>
      </c>
      <c r="N65" s="35" t="str">
        <f t="shared" si="3"/>
        <v>on screw (w/ cam adjust) - 350868</v>
      </c>
      <c r="O65" s="35">
        <v>92599</v>
      </c>
      <c r="P65" s="35" t="str">
        <f t="shared" si="4"/>
        <v>euroscrew - 92599</v>
      </c>
      <c r="Q65" s="35" t="s">
        <v>2122</v>
      </c>
      <c r="R65" s="35" t="str">
        <f t="shared" si="5"/>
        <v>expando - N/A</v>
      </c>
      <c r="S65" s="35" t="s">
        <v>2122</v>
      </c>
      <c r="T65" s="35" t="str">
        <f t="shared" si="6"/>
        <v>direct screw - N/A</v>
      </c>
      <c r="U65" s="35" t="s">
        <v>2122</v>
      </c>
      <c r="V65" s="35" t="str">
        <f t="shared" si="7"/>
        <v>direct euroscrew - N/A</v>
      </c>
      <c r="W65" s="35" t="s">
        <v>2122</v>
      </c>
      <c r="X65" s="35" t="str">
        <f t="shared" si="8"/>
        <v>direct expando - N/A</v>
      </c>
      <c r="Y65" s="34"/>
      <c r="Z65" s="34"/>
    </row>
    <row r="66" spans="1:26" ht="15">
      <c r="A66" s="34" t="s">
        <v>1105</v>
      </c>
      <c r="B66" s="34" t="s">
        <v>2352</v>
      </c>
      <c r="C66" s="34" t="str">
        <f>'Translate&amp;Prices&amp;Logo'!B555</f>
        <v>Inset</v>
      </c>
      <c r="D66" s="32" t="str">
        <f t="shared" si="0"/>
        <v>široký_STRONGHINGES_Vložený</v>
      </c>
      <c r="E66" s="34" t="str">
        <f>'Translate&amp;Prices&amp;Logo'!$B$584</f>
        <v>tip-on without spring / damping</v>
      </c>
      <c r="F66" s="34" t="str">
        <f>'Translate&amp;Prices&amp;Logo'!$B$585</f>
        <v>silver</v>
      </c>
      <c r="G66" s="34" t="str">
        <f t="shared" si="10"/>
        <v>350839 - Inset tip-on without spring / damping - silver</v>
      </c>
      <c r="H66" s="35" t="s">
        <v>1103</v>
      </c>
      <c r="I66" s="35">
        <v>350839</v>
      </c>
      <c r="J66" s="35" t="s">
        <v>1103</v>
      </c>
      <c r="K66" s="35">
        <v>92598</v>
      </c>
      <c r="L66" s="35" t="str">
        <f t="shared" si="2"/>
        <v>cross screw - 92598</v>
      </c>
      <c r="M66" s="35">
        <v>350868</v>
      </c>
      <c r="N66" s="35" t="str">
        <f t="shared" si="3"/>
        <v>on screw (w/ cam adjust) - 350868</v>
      </c>
      <c r="O66" s="35">
        <v>92599</v>
      </c>
      <c r="P66" s="35" t="str">
        <f t="shared" si="4"/>
        <v>euroscrew - 92599</v>
      </c>
      <c r="Q66" s="35" t="s">
        <v>2122</v>
      </c>
      <c r="R66" s="35" t="str">
        <f t="shared" si="5"/>
        <v>expando - N/A</v>
      </c>
      <c r="S66" s="35" t="s">
        <v>2122</v>
      </c>
      <c r="T66" s="35" t="str">
        <f t="shared" si="6"/>
        <v>direct screw - N/A</v>
      </c>
      <c r="U66" s="35" t="s">
        <v>2122</v>
      </c>
      <c r="V66" s="35" t="str">
        <f t="shared" si="7"/>
        <v>direct euroscrew - N/A</v>
      </c>
      <c r="W66" s="35" t="s">
        <v>2122</v>
      </c>
      <c r="X66" s="35" t="str">
        <f t="shared" si="8"/>
        <v>direct expando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5</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maximum profile length 2500 mm</v>
      </c>
      <c r="C6" s="170">
        <f>IF($D$1=1,E6,IF(OR($D$1=2,$D$1=5,),G6,IF($D$1=3,I6,IF($D$1=4,K6,IF($D$1=6,G6*1.3,0)))))</f>
        <v>12.894191137724553</v>
      </c>
      <c r="D6" s="170">
        <f>IF($D$1=1,F6,IF(OR($D$1=2,$D$1=5),H6,IF($D$1=3,J6,IF($D$1=4,L6,IF($D$1=6,H6*1.3,0)))))</f>
        <v>7.3270562874251493</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anthracite RAL 7021 - maximum profile length 2500 mm</v>
      </c>
      <c r="C7" s="170">
        <f t="shared" ref="C7:C60" si="1">IF($D$1=1,E7,IF(OR($D$1=2,$D$1=5,),G7,IF($D$1=3,I7,IF($D$1=4,K7,IF($D$1=6,G7*1.3,0)))))</f>
        <v>23.181025994730536</v>
      </c>
      <c r="D7" s="170">
        <f t="shared" ref="D7:D60" si="2">IF($D$1=1,F7,IF(OR($D$1=2,$D$1=5),H7,IF($D$1=3,J7,IF($D$1=4,L7,IF($D$1=6,H7*1.3,0)))))</f>
        <v>7.3270562874251493</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white matt RAL 9003 - maximum profile length 2500 mm</v>
      </c>
      <c r="C8" s="170">
        <f t="shared" si="1"/>
        <v>20.775158135568866</v>
      </c>
      <c r="D8" s="170">
        <f t="shared" si="2"/>
        <v>7.3270562874251493</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white gloss RAL 9003 - maximum profile length 2500 mm</v>
      </c>
      <c r="C9" s="170">
        <f t="shared" si="1"/>
        <v>20.775158135568866</v>
      </c>
      <c r="D9" s="170">
        <f t="shared" si="2"/>
        <v>7.3270562874251493</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brown - maximum profile length 2500 mm</v>
      </c>
      <c r="C10" s="170">
        <f t="shared" si="1"/>
        <v>13.32466491017964</v>
      </c>
      <c r="D10" s="170">
        <f t="shared" si="2"/>
        <v>7.3270562874251493</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brushed - maximum profile length 2500 mm</v>
      </c>
      <c r="C11" s="170">
        <f t="shared" si="1"/>
        <v>18.701582658682636</v>
      </c>
      <c r="D11" s="170">
        <f t="shared" si="2"/>
        <v>7.3270562874251493</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black matt - maximum profile length 2500 mm</v>
      </c>
      <c r="C12" s="170">
        <f t="shared" si="1"/>
        <v>12.791678313772454</v>
      </c>
      <c r="D12" s="170">
        <f t="shared" si="2"/>
        <v>7.4118395209580834</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gold - maximum profile length 2500 mm</v>
      </c>
      <c r="C13" s="170">
        <f t="shared" si="1"/>
        <v>25.984598227544911</v>
      </c>
      <c r="D13" s="170">
        <f t="shared" si="2"/>
        <v>7.3270562874251493</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black brushed - maximum profile length 2500 mm</v>
      </c>
      <c r="C14" s="170">
        <f t="shared" si="1"/>
        <v>14.385832814371257</v>
      </c>
      <c r="D14" s="170">
        <f t="shared" si="2"/>
        <v>7.4118395209580834</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Light Stainless Steel (INOX ACIER gratta) - maximum profile length 2500 mm</v>
      </c>
      <c r="C15" s="170">
        <f t="shared" si="1"/>
        <v>18.072557029940121</v>
      </c>
      <c r="D15" s="170">
        <f t="shared" si="2"/>
        <v>7.3270562874251493</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dark stainless steel (INOX LIJA)- maximum profile length 2500 mm</v>
      </c>
      <c r="C16" s="170">
        <f t="shared" si="1"/>
        <v>15.507066826347303</v>
      </c>
      <c r="D16" s="170">
        <f t="shared" si="2"/>
        <v>7.3270562874251493</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 maximum profile length 1500 mm</v>
      </c>
      <c r="C17" s="170">
        <f t="shared" si="1"/>
        <v>15.623862035928143</v>
      </c>
      <c r="D17" s="170">
        <f t="shared" si="2"/>
        <v>9.1744383233532911</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black matt - maximum profile length 1500 mm</v>
      </c>
      <c r="C18" s="170">
        <f t="shared" si="1"/>
        <v>23.418574102994015</v>
      </c>
      <c r="D18" s="170">
        <f t="shared" si="2"/>
        <v>9.2592215568862262</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maximum profile length 2500 mm</v>
      </c>
      <c r="C19" s="170">
        <f t="shared" si="1"/>
        <v>15.308014419161674</v>
      </c>
      <c r="D19" s="170">
        <f t="shared" si="2"/>
        <v>9.1744383233532911</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black matt - maximum profile length 2500 mm</v>
      </c>
      <c r="C20" s="170">
        <f t="shared" si="1"/>
        <v>19.517814323353292</v>
      </c>
      <c r="D20" s="170">
        <f t="shared" si="2"/>
        <v>9.1744383233532911</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white matt RAL 9003 - maximum profile length 2500 mm</v>
      </c>
      <c r="C21" s="170">
        <f t="shared" si="1"/>
        <v>32.40360888661079</v>
      </c>
      <c r="D21" s="170">
        <f t="shared" si="2"/>
        <v>9.1744383233532911</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maximum profile length 2500 mm</v>
      </c>
      <c r="C22" s="170">
        <f t="shared" si="1"/>
        <v>19.981391195209579</v>
      </c>
      <c r="D22" s="170">
        <f t="shared" si="2"/>
        <v>9.1744383233532911</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black matt - maximum profile length 2500 mm</v>
      </c>
      <c r="C23" s="170">
        <f t="shared" si="1"/>
        <v>20.894115725029938</v>
      </c>
      <c r="D23" s="170">
        <f t="shared" si="2"/>
        <v>9.2592215568862262</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gold - maximum profile length 2150 mm</v>
      </c>
      <c r="C24" s="170">
        <f t="shared" si="1"/>
        <v>23.436727415568861</v>
      </c>
      <c r="D24" s="170">
        <f t="shared" si="2"/>
        <v>7.3270562874251493</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black black brushed - maximum profile length 2500 mm</v>
      </c>
      <c r="C25" s="170">
        <f t="shared" si="1"/>
        <v>29.129359300598797</v>
      </c>
      <c r="D25" s="170">
        <f t="shared" si="2"/>
        <v>7.3270562874251493</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dark stainless steel brushed - maximum profile length 2500 mm</v>
      </c>
      <c r="C26" s="170">
        <f t="shared" si="1"/>
        <v>26.462123784431139</v>
      </c>
      <c r="D26" s="170">
        <f t="shared" si="2"/>
        <v>9.1744383233532911</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maximum profile length 2500 mm</v>
      </c>
      <c r="C27" s="170">
        <f t="shared" si="1"/>
        <v>17.830824316167664</v>
      </c>
      <c r="D27" s="170">
        <f t="shared" si="2"/>
        <v>9.1744383233532911</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20.753507640718563</v>
      </c>
      <c r="D28" s="170">
        <f t="shared" si="2"/>
        <v>9.2592215568862262</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maximum profile length 2500 mm</v>
      </c>
      <c r="C29" s="170">
        <f t="shared" si="1"/>
        <v>16.084582430658681</v>
      </c>
      <c r="D29" s="170">
        <f t="shared" si="2"/>
        <v>9.1744383233532911</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black matt - maximum profile length 2500 mm</v>
      </c>
      <c r="C30" s="170">
        <f t="shared" si="1"/>
        <v>20.509899529580842</v>
      </c>
      <c r="D30" s="170">
        <f t="shared" si="2"/>
        <v>9.2592215568862262</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gold - maximum profile length 2150 mm</v>
      </c>
      <c r="C31" s="170">
        <f t="shared" si="1"/>
        <v>35.470538299401206</v>
      </c>
      <c r="D31" s="170">
        <f t="shared" si="2"/>
        <v>9.1744383233532911</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maximum profile length 2500 mm</v>
      </c>
      <c r="C32" s="170">
        <f t="shared" si="1"/>
        <v>17.830824316167664</v>
      </c>
      <c r="D32" s="170">
        <f t="shared" si="2"/>
        <v>9.1744383233532911</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20.753507640718563</v>
      </c>
      <c r="D33" s="170">
        <f t="shared" si="2"/>
        <v>9.2592215568862262</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maximum profile length 2500 mm</v>
      </c>
      <c r="C34" s="170">
        <f t="shared" si="1"/>
        <v>10.81423530538922</v>
      </c>
      <c r="D34" s="170">
        <f t="shared" si="2"/>
        <v>7.3270562874251493</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brushed aluminium - maximum profile length 2500 mm</v>
      </c>
      <c r="C35" s="170">
        <f t="shared" si="1"/>
        <v>16.543707736526944</v>
      </c>
      <c r="D35" s="170">
        <f t="shared" si="2"/>
        <v>7.3270562874251493</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black gloss - maximum profile length 2500 mm</v>
      </c>
      <c r="C36" s="170">
        <f t="shared" si="1"/>
        <v>23.090079233532936</v>
      </c>
      <c r="D36" s="170">
        <f t="shared" si="2"/>
        <v>7.4118395209580834</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black matt - maximum profile length 2500 mm</v>
      </c>
      <c r="C37" s="170">
        <f t="shared" si="1"/>
        <v>13.327835065868262</v>
      </c>
      <c r="D37" s="170">
        <f t="shared" si="2"/>
        <v>7.4118395209580834</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brown - maximum profile length 2500 mm</v>
      </c>
      <c r="C38" s="170">
        <f t="shared" si="1"/>
        <v>13.860948468502993</v>
      </c>
      <c r="D38" s="170">
        <f t="shared" si="2"/>
        <v>7.3270562874251493</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champagne - maximum profile length 2500 mm</v>
      </c>
      <c r="C39" s="170">
        <f t="shared" si="1"/>
        <v>14.475571579401201</v>
      </c>
      <c r="D39" s="170">
        <f t="shared" si="2"/>
        <v>7.3270562874251493</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dark stainless steel brushed - maximum profile length 2500 mm</v>
      </c>
      <c r="C40" s="170">
        <f t="shared" si="1"/>
        <v>17.705566459401197</v>
      </c>
      <c r="D40" s="170">
        <f t="shared" si="2"/>
        <v>7.3270562874251493</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light stainless steel (Acier gratta) - maximum profile length 2500 mm</v>
      </c>
      <c r="C41" s="170">
        <f t="shared" si="1"/>
        <v>17.894144004790419</v>
      </c>
      <c r="D41" s="170">
        <f t="shared" si="2"/>
        <v>7.3270562874251493</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black matt - maximum profile length 2150 mm</v>
      </c>
      <c r="C42" s="170">
        <f t="shared" si="1"/>
        <v>25.319033718035932</v>
      </c>
      <c r="D42" s="170">
        <f t="shared" si="2"/>
        <v>7.0414706586826341</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maximum profile length 2500 mm</v>
      </c>
      <c r="C43" s="170">
        <f t="shared" si="1"/>
        <v>18.503164282634732</v>
      </c>
      <c r="D43" s="170">
        <f t="shared" si="2"/>
        <v>9.1744383233532911</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black matt - maximum profile length 2500 mm</v>
      </c>
      <c r="C44" s="170">
        <f t="shared" si="1"/>
        <v>24.564969140119761</v>
      </c>
      <c r="D44" s="170">
        <f t="shared" si="2"/>
        <v>9.2592215568862262</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gold - maximum profile length 2150 mm</v>
      </c>
      <c r="C45" s="170">
        <f t="shared" si="1"/>
        <v>35.232609772455092</v>
      </c>
      <c r="D45" s="170">
        <f t="shared" si="2"/>
        <v>9.1744383233532911</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dark stainless steel - maximum profile length 2500 mm</v>
      </c>
      <c r="C46" s="170">
        <f t="shared" si="1"/>
        <v>22.29674276694611</v>
      </c>
      <c r="D46" s="170">
        <f t="shared" si="2"/>
        <v>9.1744383233532911</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white matt RAL 9003 - maximum profile length 2500 mm</v>
      </c>
      <c r="C47" s="170">
        <f t="shared" si="1"/>
        <v>35.125541935329338</v>
      </c>
      <c r="D47" s="170">
        <f t="shared" si="2"/>
        <v>9.1744383233532911</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white gloss RAL 9003 - maximum profile length 2500 mm</v>
      </c>
      <c r="C48" s="170">
        <f t="shared" si="1"/>
        <v>35.125541935329338</v>
      </c>
      <c r="D48" s="170">
        <f t="shared" si="2"/>
        <v>9.1744383233532911</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Várna - maximum profile length 2500 mm</v>
      </c>
      <c r="C49" s="170">
        <f t="shared" si="1"/>
        <v>14.725540023952098</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maximum profile length 2150 mm</v>
      </c>
      <c r="C50" s="170">
        <f t="shared" si="1"/>
        <v>16.979162991520958</v>
      </c>
      <c r="D50" s="170">
        <f t="shared" si="2"/>
        <v>7.0414706586826341</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white matt RAL 9003 - maximum profile length 2500 mm</v>
      </c>
      <c r="C52" s="170">
        <f t="shared" si="1"/>
        <v>31.757702011976054</v>
      </c>
      <c r="D52" s="170">
        <f t="shared" si="2"/>
        <v>9.1744383233532911</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white gloss RAL 9003 - maximum profile length 2500 mm</v>
      </c>
      <c r="C53" s="170">
        <f t="shared" si="1"/>
        <v>31.757702011976054</v>
      </c>
      <c r="D53" s="170">
        <f t="shared" si="2"/>
        <v>9.1744383233532911</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Varna black - maximum profile length 1200 mm</v>
      </c>
      <c r="C54" s="170">
        <f t="shared" si="1"/>
        <v>21.023137724550896</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arany csiszolt - maximum profile length 2500 mm</v>
      </c>
      <c r="C55" s="170">
        <f t="shared" si="1"/>
        <v>31.963845556886227</v>
      </c>
      <c r="D55" s="170">
        <f t="shared" si="2"/>
        <v>7.3270562874251493</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gold brushed - maximum profile length 2150 mm</v>
      </c>
      <c r="C56" s="170">
        <f t="shared" si="1"/>
        <v>29.129359300598797</v>
      </c>
      <c r="D56" s="170">
        <f t="shared" si="2"/>
        <v>7.3270562874251493</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gold brushed - maximum profile length 2150 mm</v>
      </c>
      <c r="C57" s="170">
        <f t="shared" si="1"/>
        <v>42.213125748502996</v>
      </c>
      <c r="D57" s="170">
        <f t="shared" si="2"/>
        <v>9.1744383233532911</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gold - maximum profile length 2150 mm</v>
      </c>
      <c r="C58" s="170">
        <f t="shared" si="1"/>
        <v>29.202579885988026</v>
      </c>
      <c r="D58" s="170">
        <f t="shared" si="2"/>
        <v>9.1744383233532911</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black matt - maximum profile length 2150 mm</v>
      </c>
      <c r="C59" s="170">
        <f t="shared" si="1"/>
        <v>24.526994011976043</v>
      </c>
      <c r="D59" s="170">
        <f t="shared" si="2"/>
        <v>7.4118395209580834</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anthracite RAL 7021 matt - maximum profile length 2500 mm</v>
      </c>
      <c r="C60" s="170">
        <f t="shared" si="1"/>
        <v>36.405066826347309</v>
      </c>
      <c r="D60" s="170">
        <f t="shared" si="2"/>
        <v>7.4118395209580834</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brown - maximum profile length 2500 mm</v>
      </c>
      <c r="C61" s="170">
        <f t="shared" ref="C61:C65" si="3">IF($D$1=1,E61,IF(OR($D$1=2,$D$1=5,),G61,IF($D$1=3,I61,IF($D$1=4,K61,IF($D$1=6,G61*1.3,0)))))</f>
        <v>22.78707344</v>
      </c>
      <c r="D61" s="170">
        <f t="shared" ref="D61:D65" si="4">IF($D$1=1,F61,IF(OR($D$1=2,$D$1=5),H61,IF($D$1=3,J61,IF($D$1=4,L61,IF($D$1=6,H61*1.3,0)))))</f>
        <v>9.7579918029999995</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Ivory mat - maximum profile length 2150 mm</v>
      </c>
      <c r="C62" s="170">
        <f t="shared" si="3"/>
        <v>15.77285311</v>
      </c>
      <c r="D62" s="170">
        <f t="shared" si="4"/>
        <v>7.7947893439999998</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black matt - maximum profile length 2750 mm</v>
      </c>
      <c r="C63" s="170">
        <f t="shared" si="3"/>
        <v>30.689347210000001</v>
      </c>
      <c r="D63" s="170">
        <f t="shared" si="4"/>
        <v>21.931745899999999</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cashmere - maximum profile length 2500 mm</v>
      </c>
      <c r="C64" s="170">
        <f t="shared" si="3"/>
        <v>23.48160803</v>
      </c>
      <c r="D64" s="170">
        <f t="shared" si="4"/>
        <v>7.7947893439999998</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cashmere - maximum profile length 2150 mm</v>
      </c>
      <c r="C65" s="170">
        <f t="shared" si="3"/>
        <v>23.48160803</v>
      </c>
      <c r="D65" s="170">
        <f t="shared" si="4"/>
        <v>7.7947893439999998</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maximum profile length 2500 mm</v>
      </c>
      <c r="C69" s="170">
        <f t="shared" ref="C69:C74" si="6">IF($D$1=1,E69,IF(OR($D$1=2,$D$1=5,),G69,IF($D$1=3,I69,IF($D$1=4,K69,IF($D$1=6,G69*1.3,0)))))</f>
        <v>13.811867784431138</v>
      </c>
      <c r="D69" s="170">
        <f t="shared" ref="D69:D74" si="7">IF($D$1=1,F69,IF(OR($D$1=2,$D$1=5),H69,IF($D$1=3,J69,IF($D$1=4,L69,IF($D$1=6,H69*1.3,0)))))</f>
        <v>7.3270562874251493</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light - maximum profile length 2500 mm</v>
      </c>
      <c r="C70" s="170">
        <f t="shared" si="6"/>
        <v>19.780436694610778</v>
      </c>
      <c r="D70" s="170">
        <f t="shared" si="7"/>
        <v>7.3270562874251493</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black matt  - maximum profile length 2696 mm</v>
      </c>
      <c r="C71" s="170">
        <f t="shared" si="6"/>
        <v>29.432392814371259</v>
      </c>
      <c r="D71" s="170">
        <f t="shared" si="7"/>
        <v>20.615712574850296</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matt  - maximum profile length 2696 mm</v>
      </c>
      <c r="C72" s="170">
        <f t="shared" si="6"/>
        <v>29.432392814371259</v>
      </c>
      <c r="D72" s="170">
        <f t="shared" si="7"/>
        <v>20.615712574850296</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black matt  - maximum profile length 2696 mm</v>
      </c>
      <c r="C73" s="170">
        <f t="shared" si="6"/>
        <v>29.432392814371259</v>
      </c>
      <c r="D73" s="170">
        <f t="shared" si="7"/>
        <v>20.615712574850296</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matt  - maximum profile length 2696 mm</v>
      </c>
      <c r="C74" s="170">
        <f t="shared" si="6"/>
        <v>29.432392814371259</v>
      </c>
      <c r="D74" s="170">
        <f t="shared" si="7"/>
        <v>20.615712574850296</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maximum profile length 2500 mm</v>
      </c>
      <c r="D77" s="189" t="str">
        <f>B49</f>
        <v>Várna - maximum profile length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Varna black - maximum profile length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maximum profile length 2500 mm</v>
      </c>
      <c r="D79" s="189" t="str">
        <f>B49</f>
        <v>Várna - maximum profile length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(Left and Right) + Varna elox (Top and Bottom)</v>
      </c>
      <c r="C80" s="188" t="str">
        <f>B50</f>
        <v>Rocca (elox.) - maximum profile length 2150 mm</v>
      </c>
      <c r="D80" s="275" t="str">
        <f>B49</f>
        <v>Várna - maximum profile length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black (Left and right) + Varna black (Top and bottom)</v>
      </c>
      <c r="C81" s="188" t="str">
        <f>B42</f>
        <v>Rocca black matt - maximum profile length 2150 mm</v>
      </c>
      <c r="D81" s="275" t="str">
        <f>$B$54</f>
        <v>Varna black - maximum profile length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Varna black - maximum profile length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Transparent</v>
      </c>
      <c r="C91" s="170">
        <f>IF($D$1=1,E91,IF(OR($D$1=2,$D$1=5),G91,IF($D$1=3,I91,IF($D$1=4,K91,IF($D$1=6,G91*1.3,0)))))</f>
        <v>5.1684790419161688</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White</v>
      </c>
      <c r="C92" s="170">
        <f t="shared" ref="C92:C141" si="9">IF($D$1=1,E92,IF(OR($D$1=2,$D$1=5),G92,IF($D$1=3,I92,IF($D$1=4,K92,IF($D$1=6,G92*1.3,0)))))</f>
        <v>4.3070658682634742</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Black</v>
      </c>
      <c r="C93" s="170">
        <f t="shared" si="9"/>
        <v>5.1684790419161688</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22.827449101796407</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Gloss</v>
      </c>
      <c r="C95" s="170">
        <f t="shared" si="9"/>
        <v>2.2412694610778447</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Matt</v>
      </c>
      <c r="C96" s="170">
        <f t="shared" si="9"/>
        <v>1.4875329341317365</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0.85050000000000014</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Transparent</v>
      </c>
      <c r="C99" s="170">
        <f t="shared" si="9"/>
        <v>44.793485029940122</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6.1819200000000007</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6.5318400000000008</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Foil</v>
      </c>
      <c r="C102" s="170">
        <f t="shared" si="9"/>
        <v>7.6982400000000002</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Transparent harded (delivery 3 weeks)</v>
      </c>
      <c r="C103" s="170">
        <f t="shared" si="9"/>
        <v>8.8646400000000014</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Satinato</v>
      </c>
      <c r="C104" s="170">
        <f t="shared" si="9"/>
        <v>57.140407185628746</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MASTER SOFT</v>
      </c>
      <c r="C105" s="170">
        <f t="shared" si="9"/>
        <v>74.081532934131729</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Satinato brown / Decormat Braz</v>
      </c>
      <c r="C106" s="170">
        <f t="shared" si="9"/>
        <v>72.64584431137726</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Satinato graphite  / Decormat grafit</v>
      </c>
      <c r="C107" s="170">
        <f t="shared" si="9"/>
        <v>72.64584431137726</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maximum possible size 2160 x 1650 mm</v>
      </c>
      <c r="C108" s="170">
        <f t="shared" si="9"/>
        <v>79.250011976047915</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Venus VG10</v>
      </c>
      <c r="C109" s="170">
        <f t="shared" si="9"/>
        <v>71.669576047904201</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bronze  - maximum possible size 2250 x 1605 mm</v>
      </c>
      <c r="C110" s="170">
        <f t="shared" si="9"/>
        <v>96.478275449101787</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Lacomatt</v>
      </c>
      <c r="C111" s="170">
        <f t="shared" si="9"/>
        <v>63.457437125748505</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Antisol bronze</v>
      </c>
      <c r="C113" s="170">
        <f t="shared" si="9"/>
        <v>56.738414371257491</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Antisol graphite</v>
      </c>
      <c r="C114" s="170">
        <f t="shared" si="9"/>
        <v>56.738414371257491</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Mirror</v>
      </c>
      <c r="C115" s="170">
        <f t="shared" si="9"/>
        <v>59.724646706586839</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Mirror brown</v>
      </c>
      <c r="C116" s="170">
        <f t="shared" si="9"/>
        <v>78.388598802395222</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Mirror black</v>
      </c>
      <c r="C117" s="170">
        <f t="shared" si="9"/>
        <v>78.388598802395222</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VISIOSUN horizont</v>
      </c>
      <c r="C118" s="170">
        <f t="shared" si="9"/>
        <v>74.081532934131729</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maximum possible size 2130 x 1650 mm</v>
      </c>
      <c r="C119" s="170">
        <f t="shared" si="9"/>
        <v>79.250011976047915</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Master (Carre)</v>
      </c>
      <c r="C120" s="170">
        <f t="shared" si="9"/>
        <v>64.203995209580839</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Master  Ligne horizontal</v>
      </c>
      <c r="C121" s="170">
        <f t="shared" si="9"/>
        <v>64.203995209580839</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Master Point</v>
      </c>
      <c r="C122" s="170">
        <f t="shared" si="9"/>
        <v>64.203995209580839</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FLUTES horizont</v>
      </c>
      <c r="C123" s="170">
        <f t="shared" si="9"/>
        <v>99.062514970059908</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Master  Ligne vertical</v>
      </c>
      <c r="C125" s="170">
        <f t="shared" si="9"/>
        <v>64.203995209580839</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Lacobel RAL 1013</v>
      </c>
      <c r="C126" s="170">
        <f t="shared" si="9"/>
        <v>82.695664670658687</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Lacobel RAL 1015</v>
      </c>
      <c r="C127" s="170">
        <f t="shared" si="9"/>
        <v>68.913053892215572</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FLUTES vertical</v>
      </c>
      <c r="C128" s="170">
        <f t="shared" si="9"/>
        <v>99.062514970059908</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VISIOSUN vertical</v>
      </c>
      <c r="C129" s="170">
        <f t="shared" si="9"/>
        <v>74.081532934131729</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VISIOSUN sateen vertical</v>
      </c>
      <c r="C130" s="170">
        <f t="shared" si="9"/>
        <v>107.67664670658684</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VISIOSUN sateen horizont</v>
      </c>
      <c r="C131" s="170">
        <f t="shared" si="9"/>
        <v>107.67664670658684</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Lacobel RAL 7035</v>
      </c>
      <c r="C133" s="170">
        <f t="shared" si="9"/>
        <v>68.913053892215572</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Lacobel RAL 9003</v>
      </c>
      <c r="C135" s="170">
        <f t="shared" si="9"/>
        <v>82.695664670658687</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Lacobel RAL 9005</v>
      </c>
      <c r="C136" s="170">
        <f t="shared" si="9"/>
        <v>62.710879041916165</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Lacobel RAL 9006</v>
      </c>
      <c r="C137" s="170">
        <f t="shared" si="9"/>
        <v>82.695664670658687</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Lacobel RAL 9007</v>
      </c>
      <c r="C138" s="170">
        <f t="shared" si="9"/>
        <v>82.695664670658687</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Lacobel RAL 9010</v>
      </c>
      <c r="C139" s="170">
        <f t="shared" si="9"/>
        <v>62.710879041916165</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Moru brown vertical</v>
      </c>
      <c r="C140" s="170">
        <f t="shared" si="9"/>
        <v>107.67664670658684</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 xml:space="preserve">Moru graphite vertical </v>
      </c>
      <c r="C141" s="170">
        <f t="shared" si="9"/>
        <v>107.67664670658684</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Moru brown horizontal</v>
      </c>
      <c r="C144" s="170">
        <f t="shared" ref="C144:C145" si="14">IF($D$1=1,E144,IF(OR($D$1=2,$D$1=5),G144,IF($D$1=3,I144,IF($D$1=4,K144,IF($D$1=6,G144*1.3,0)))))</f>
        <v>107.67664670658684</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Moru graphite horizontal</v>
      </c>
      <c r="C145" s="170">
        <f t="shared" si="14"/>
        <v>107.67664670658684</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 xml:space="preserve">Matelac RAL 9003 </v>
      </c>
      <c r="C154" s="170">
        <f t="shared" ref="C154:C155" si="16">IF($D$1=1,E154,IF(OR($D$1=2,$D$1=5),G154,IF($D$1=3,I154,IF($D$1=4,K154,IF($D$1=6,G154*1.3,0)))))</f>
        <v>130.64766467065868</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 xml:space="preserve">Matelac RAL 9005 </v>
      </c>
      <c r="C155" s="170">
        <f t="shared" si="16"/>
        <v>104.51813173652697</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mirror bronze</v>
      </c>
      <c r="C160" s="170">
        <f t="shared" ref="C160:C167" si="18">IF($D$1=1,E160,IF(OR($D$1=2,$D$1=5),G160,IF($D$1=3,I160,IF($D$1=4,K160,IF($D$1=6,G160*1.3,0)))))</f>
        <v>109.74403832335331</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48.239137724550893</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mirror graphite</v>
      </c>
      <c r="C162" s="170">
        <f t="shared" si="18"/>
        <v>109.74403832335331</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mirror silver.</v>
      </c>
      <c r="C163" s="170">
        <f t="shared" si="18"/>
        <v>130.64766467065868</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mesh aluminum gold - field 10x6x1 mm</v>
      </c>
      <c r="C164" s="170">
        <f t="shared" si="18"/>
        <v>433.20431654676258</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mesh steel black matt - field 8x4x1 mm</v>
      </c>
      <c r="C165" s="170">
        <f t="shared" si="18"/>
        <v>174.05530575539584</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mesh steel white - field 8x4x1 mm</v>
      </c>
      <c r="C166" s="170">
        <f t="shared" si="18"/>
        <v>174.05530575539584</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mesh anodized - field 10x6x1 mm</v>
      </c>
      <c r="C167" s="170">
        <f t="shared" si="18"/>
        <v>433.20431654676258</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Frame</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The standard hole for a hinge cup is drilled 3mm from the edge.</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Prices shown are VAT-free and do not include price of the fittings required!</v>
      </c>
      <c r="M171" s="175" t="s">
        <v>413</v>
      </c>
      <c r="N171" s="133" t="s">
        <v>470</v>
      </c>
      <c r="O171" s="133" t="s">
        <v>876</v>
      </c>
      <c r="P171" s="133" t="s">
        <v>1238</v>
      </c>
      <c r="Q171" s="133" t="s">
        <v>1440</v>
      </c>
      <c r="R171" s="325" t="s">
        <v>3823</v>
      </c>
      <c r="AA171" s="178" t="s">
        <v>3471</v>
      </c>
      <c r="AB171" s="178" t="s">
        <v>3099</v>
      </c>
      <c r="AH171"/>
      <c r="AI171"/>
    </row>
    <row r="172" spans="1:35">
      <c r="B172" s="182" t="str">
        <f t="shared" si="19"/>
        <v>Type of profile</v>
      </c>
      <c r="M172" s="175" t="s">
        <v>149</v>
      </c>
      <c r="N172" s="133" t="s">
        <v>149</v>
      </c>
      <c r="O172" s="133" t="s">
        <v>333</v>
      </c>
      <c r="P172" s="133" t="s">
        <v>345</v>
      </c>
      <c r="Q172" s="133" t="s">
        <v>1441</v>
      </c>
      <c r="R172" s="325" t="s">
        <v>3824</v>
      </c>
      <c r="AA172" s="178" t="s">
        <v>3472</v>
      </c>
      <c r="AB172" s="178" t="s">
        <v>3100</v>
      </c>
      <c r="AH172"/>
      <c r="AI172"/>
    </row>
    <row r="173" spans="1:35">
      <c r="B173" s="182" t="str">
        <f t="shared" si="19"/>
        <v>Type of glass</v>
      </c>
      <c r="M173" s="175" t="s">
        <v>2081</v>
      </c>
      <c r="N173" s="133" t="s">
        <v>2082</v>
      </c>
      <c r="O173" s="133" t="s">
        <v>12</v>
      </c>
      <c r="P173" s="133" t="s">
        <v>275</v>
      </c>
      <c r="Q173" s="133" t="s">
        <v>1347</v>
      </c>
      <c r="R173" s="325" t="s">
        <v>3825</v>
      </c>
      <c r="AA173" s="178" t="s">
        <v>3473</v>
      </c>
      <c r="AB173" s="178" t="s">
        <v>3101</v>
      </c>
      <c r="AH173"/>
      <c r="AI173"/>
    </row>
    <row r="174" spans="1:35">
      <c r="B174" s="182" t="str">
        <f t="shared" si="19"/>
        <v>Quantity</v>
      </c>
      <c r="M174" s="175" t="s">
        <v>4</v>
      </c>
      <c r="N174" s="133" t="s">
        <v>153</v>
      </c>
      <c r="O174" s="133" t="s">
        <v>13</v>
      </c>
      <c r="P174" s="133" t="s">
        <v>1239</v>
      </c>
      <c r="Q174" s="133" t="s">
        <v>901</v>
      </c>
      <c r="R174" s="325" t="s">
        <v>3826</v>
      </c>
      <c r="AA174" s="179" t="s">
        <v>3474</v>
      </c>
      <c r="AB174" s="178" t="s">
        <v>3102</v>
      </c>
      <c r="AH174"/>
      <c r="AI174"/>
    </row>
    <row r="175" spans="1:35">
      <c r="B175" s="182" t="str">
        <f t="shared" si="19"/>
        <v>Width</v>
      </c>
      <c r="M175" s="175" t="s">
        <v>3</v>
      </c>
      <c r="N175" s="133" t="s">
        <v>154</v>
      </c>
      <c r="O175" s="133" t="s">
        <v>9</v>
      </c>
      <c r="P175" s="133" t="s">
        <v>276</v>
      </c>
      <c r="Q175" s="133" t="s">
        <v>902</v>
      </c>
      <c r="R175" s="325" t="s">
        <v>3827</v>
      </c>
      <c r="AA175" s="179" t="s">
        <v>3475</v>
      </c>
      <c r="AB175" s="178" t="s">
        <v>3103</v>
      </c>
      <c r="AH175"/>
      <c r="AI175"/>
    </row>
    <row r="176" spans="1:35">
      <c r="B176" s="182" t="str">
        <f t="shared" si="19"/>
        <v>Height</v>
      </c>
      <c r="M176" s="175" t="s">
        <v>14</v>
      </c>
      <c r="N176" s="133" t="s">
        <v>14</v>
      </c>
      <c r="O176" s="133" t="s">
        <v>10</v>
      </c>
      <c r="P176" s="133" t="s">
        <v>277</v>
      </c>
      <c r="Q176" s="133" t="s">
        <v>903</v>
      </c>
      <c r="R176" s="325" t="s">
        <v>3828</v>
      </c>
      <c r="AA176" s="179" t="s">
        <v>3533</v>
      </c>
      <c r="AB176" s="179" t="s">
        <v>1603</v>
      </c>
      <c r="AH176"/>
      <c r="AI176"/>
    </row>
    <row r="177" spans="2:35">
      <c r="B177" s="182" t="str">
        <f t="shared" si="19"/>
        <v>Notes</v>
      </c>
      <c r="M177" s="175" t="s">
        <v>331</v>
      </c>
      <c r="N177" s="133" t="s">
        <v>331</v>
      </c>
      <c r="O177" s="133" t="s">
        <v>210</v>
      </c>
      <c r="P177" s="133" t="s">
        <v>332</v>
      </c>
      <c r="Q177" s="133" t="s">
        <v>1407</v>
      </c>
      <c r="R177" s="325" t="s">
        <v>3829</v>
      </c>
      <c r="AA177" s="179" t="s">
        <v>3476</v>
      </c>
      <c r="AB177" s="178" t="s">
        <v>3104</v>
      </c>
      <c r="AH177"/>
      <c r="AI177"/>
    </row>
    <row r="178" spans="2:35">
      <c r="B178" s="182" t="str">
        <f t="shared" si="19"/>
        <v>Total price of frames</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Total price of fittings</v>
      </c>
      <c r="M179" s="133" t="s">
        <v>17</v>
      </c>
      <c r="N179" s="133" t="s">
        <v>156</v>
      </c>
      <c r="O179" s="133" t="s">
        <v>212</v>
      </c>
      <c r="P179" s="133" t="s">
        <v>279</v>
      </c>
      <c r="Q179" s="133" t="s">
        <v>1442</v>
      </c>
      <c r="R179" s="325" t="s">
        <v>3831</v>
      </c>
      <c r="AA179" s="179" t="s">
        <v>4503</v>
      </c>
      <c r="AB179" s="178" t="s">
        <v>4521</v>
      </c>
      <c r="AH179"/>
      <c r="AI179"/>
    </row>
    <row r="180" spans="2:35">
      <c r="B180" s="182" t="str">
        <f t="shared" si="19"/>
        <v>Total order price</v>
      </c>
      <c r="M180" s="133" t="s">
        <v>49</v>
      </c>
      <c r="N180" s="133" t="s">
        <v>157</v>
      </c>
      <c r="O180" s="133" t="s">
        <v>213</v>
      </c>
      <c r="P180" s="133" t="s">
        <v>280</v>
      </c>
      <c r="Q180" s="133" t="s">
        <v>1443</v>
      </c>
      <c r="R180" s="325" t="s">
        <v>3832</v>
      </c>
      <c r="AA180" s="179" t="s">
        <v>3477</v>
      </c>
      <c r="AB180" s="178" t="s">
        <v>555</v>
      </c>
      <c r="AH180"/>
      <c r="AI180"/>
    </row>
    <row r="181" spans="2:35">
      <c r="B181" s="182" t="str">
        <f t="shared" si="19"/>
        <v>Hinges</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others</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soft-closing</v>
      </c>
      <c r="M183" s="175" t="s">
        <v>639</v>
      </c>
      <c r="N183" s="133" t="s">
        <v>845</v>
      </c>
      <c r="O183" s="133" t="s">
        <v>846</v>
      </c>
      <c r="P183" s="133" t="s">
        <v>847</v>
      </c>
      <c r="Q183" s="133" t="s">
        <v>1446</v>
      </c>
      <c r="R183" s="325" t="s">
        <v>3835</v>
      </c>
      <c r="AA183" s="179" t="s">
        <v>3480</v>
      </c>
      <c r="AB183" s="178" t="s">
        <v>3107</v>
      </c>
      <c r="AH183"/>
      <c r="AI183"/>
    </row>
    <row r="184" spans="2:35">
      <c r="B184" s="182" t="str">
        <f t="shared" si="19"/>
        <v>Hinges with lift up mechanism</v>
      </c>
      <c r="M184" s="175" t="s">
        <v>406</v>
      </c>
      <c r="N184" s="133" t="s">
        <v>407</v>
      </c>
      <c r="O184" s="133" t="s">
        <v>1300</v>
      </c>
      <c r="P184" s="133" t="s">
        <v>1241</v>
      </c>
      <c r="Q184" s="133" t="s">
        <v>1447</v>
      </c>
      <c r="R184" s="325" t="s">
        <v>3836</v>
      </c>
      <c r="AA184" s="178" t="s">
        <v>3481</v>
      </c>
      <c r="AB184" s="178" t="s">
        <v>3108</v>
      </c>
      <c r="AH184"/>
      <c r="AI184"/>
    </row>
    <row r="185" spans="2:35">
      <c r="B185" s="182" t="str">
        <f t="shared" si="19"/>
        <v>Top door</v>
      </c>
      <c r="M185" s="175" t="s">
        <v>3015</v>
      </c>
      <c r="N185" s="133" t="s">
        <v>158</v>
      </c>
      <c r="O185" s="133" t="s">
        <v>214</v>
      </c>
      <c r="P185" s="133" t="s">
        <v>408</v>
      </c>
      <c r="Q185" s="133" t="s">
        <v>1348</v>
      </c>
      <c r="R185" s="325" t="s">
        <v>3837</v>
      </c>
      <c r="AA185" s="179" t="s">
        <v>3482</v>
      </c>
      <c r="AB185" s="178" t="s">
        <v>3109</v>
      </c>
      <c r="AH185"/>
      <c r="AI185"/>
    </row>
    <row r="186" spans="2:35">
      <c r="B186" s="182" t="str">
        <f t="shared" si="19"/>
        <v>Bottom door</v>
      </c>
      <c r="M186" s="175" t="s">
        <v>3016</v>
      </c>
      <c r="N186" s="133" t="s">
        <v>159</v>
      </c>
      <c r="O186" s="133" t="s">
        <v>215</v>
      </c>
      <c r="P186" s="133" t="s">
        <v>281</v>
      </c>
      <c r="Q186" s="133" t="s">
        <v>1349</v>
      </c>
      <c r="R186" s="325" t="s">
        <v>3838</v>
      </c>
      <c r="AA186" s="179" t="s">
        <v>3483</v>
      </c>
      <c r="AB186" s="178" t="s">
        <v>3110</v>
      </c>
      <c r="AH186"/>
      <c r="AI186"/>
    </row>
    <row r="187" spans="2:35">
      <c r="B187" s="182" t="str">
        <f t="shared" si="19"/>
        <v>Overlay clip hinge</v>
      </c>
      <c r="M187" s="154" t="s">
        <v>64</v>
      </c>
      <c r="N187" s="133" t="s">
        <v>64</v>
      </c>
      <c r="O187" s="133" t="s">
        <v>216</v>
      </c>
      <c r="P187" s="133" t="s">
        <v>282</v>
      </c>
      <c r="Q187" s="133" t="s">
        <v>1448</v>
      </c>
      <c r="R187" s="325" t="s">
        <v>3839</v>
      </c>
      <c r="AA187" s="179" t="s">
        <v>3484</v>
      </c>
      <c r="AB187" s="179" t="s">
        <v>3111</v>
      </c>
      <c r="AH187"/>
      <c r="AI187"/>
    </row>
    <row r="188" spans="2:35">
      <c r="B188" s="182" t="str">
        <f t="shared" si="19"/>
        <v>Half-overlay clip hinge</v>
      </c>
      <c r="M188" s="154" t="s">
        <v>65</v>
      </c>
      <c r="N188" s="133" t="s">
        <v>65</v>
      </c>
      <c r="O188" s="133" t="s">
        <v>217</v>
      </c>
      <c r="P188" s="133" t="s">
        <v>1242</v>
      </c>
      <c r="Q188" s="133" t="s">
        <v>1449</v>
      </c>
      <c r="R188" s="325" t="s">
        <v>3840</v>
      </c>
      <c r="AA188" s="178" t="s">
        <v>3485</v>
      </c>
      <c r="AB188" s="178" t="s">
        <v>3112</v>
      </c>
      <c r="AH188"/>
      <c r="AI188"/>
    </row>
    <row r="189" spans="2:35">
      <c r="B189" s="182" t="str">
        <f t="shared" si="19"/>
        <v>Inset clip hinge</v>
      </c>
      <c r="M189" s="154" t="s">
        <v>66</v>
      </c>
      <c r="N189" s="133" t="s">
        <v>66</v>
      </c>
      <c r="O189" s="133" t="s">
        <v>218</v>
      </c>
      <c r="P189" s="133" t="s">
        <v>1243</v>
      </c>
      <c r="Q189" s="133" t="s">
        <v>1450</v>
      </c>
      <c r="R189" s="325" t="s">
        <v>3841</v>
      </c>
      <c r="AA189" s="178" t="s">
        <v>4543</v>
      </c>
      <c r="AB189" s="178" t="s">
        <v>4522</v>
      </c>
      <c r="AH189"/>
      <c r="AI189"/>
    </row>
    <row r="190" spans="2:35">
      <c r="B190" s="182" t="str">
        <f t="shared" si="19"/>
        <v>45°angle</v>
      </c>
      <c r="M190" s="154" t="s">
        <v>67</v>
      </c>
      <c r="N190" s="133" t="s">
        <v>160</v>
      </c>
      <c r="O190" s="133" t="s">
        <v>219</v>
      </c>
      <c r="P190" s="133" t="s">
        <v>283</v>
      </c>
      <c r="Q190" s="133" t="s">
        <v>1350</v>
      </c>
      <c r="R190" s="325" t="s">
        <v>3842</v>
      </c>
      <c r="AA190" s="178" t="s">
        <v>3488</v>
      </c>
      <c r="AB190" s="178" t="s">
        <v>3113</v>
      </c>
      <c r="AH190"/>
      <c r="AI190"/>
    </row>
    <row r="191" spans="2:35">
      <c r="B191" s="182" t="str">
        <f t="shared" si="19"/>
        <v>Overlay</v>
      </c>
      <c r="M191" s="133" t="s">
        <v>68</v>
      </c>
      <c r="N191" s="133" t="s">
        <v>161</v>
      </c>
      <c r="O191" s="133" t="s">
        <v>220</v>
      </c>
      <c r="P191" s="133" t="s">
        <v>284</v>
      </c>
      <c r="Q191" s="133" t="s">
        <v>1595</v>
      </c>
      <c r="R191" s="325" t="s">
        <v>3843</v>
      </c>
      <c r="AA191" s="179" t="s">
        <v>3489</v>
      </c>
      <c r="AB191" s="178" t="s">
        <v>3114</v>
      </c>
      <c r="AH191"/>
      <c r="AI191"/>
    </row>
    <row r="192" spans="2:35">
      <c r="B192" s="182" t="str">
        <f t="shared" si="19"/>
        <v>Half-overlay</v>
      </c>
      <c r="M192" s="133" t="s">
        <v>69</v>
      </c>
      <c r="N192" s="133" t="s">
        <v>162</v>
      </c>
      <c r="O192" s="133" t="s">
        <v>221</v>
      </c>
      <c r="P192" s="133" t="s">
        <v>1244</v>
      </c>
      <c r="Q192" s="133" t="s">
        <v>1452</v>
      </c>
      <c r="R192" s="325" t="s">
        <v>3844</v>
      </c>
      <c r="AA192" s="179" t="s">
        <v>3490</v>
      </c>
      <c r="AB192" s="179" t="s">
        <v>3115</v>
      </c>
      <c r="AH192"/>
      <c r="AI192"/>
    </row>
    <row r="193" spans="2:35">
      <c r="B193" s="182" t="str">
        <f t="shared" si="19"/>
        <v>Inset</v>
      </c>
      <c r="M193" s="133" t="s">
        <v>70</v>
      </c>
      <c r="N193" s="133" t="s">
        <v>163</v>
      </c>
      <c r="O193" s="133" t="s">
        <v>222</v>
      </c>
      <c r="P193" s="133" t="s">
        <v>1245</v>
      </c>
      <c r="Q193" s="133" t="s">
        <v>905</v>
      </c>
      <c r="R193" s="325" t="s">
        <v>3845</v>
      </c>
      <c r="AA193" s="179" t="s">
        <v>3493</v>
      </c>
      <c r="AB193" s="178" t="s">
        <v>3116</v>
      </c>
      <c r="AH193"/>
      <c r="AI193"/>
    </row>
    <row r="194" spans="2:35">
      <c r="B194" s="182" t="str">
        <f t="shared" si="19"/>
        <v>45°angle</v>
      </c>
      <c r="M194" s="133" t="s">
        <v>67</v>
      </c>
      <c r="N194" s="133" t="s">
        <v>160</v>
      </c>
      <c r="O194" s="133" t="s">
        <v>219</v>
      </c>
      <c r="P194" s="133" t="s">
        <v>283</v>
      </c>
      <c r="Q194" s="133" t="s">
        <v>1350</v>
      </c>
      <c r="R194" s="325" t="s">
        <v>3842</v>
      </c>
      <c r="AA194" s="179" t="s">
        <v>3494</v>
      </c>
      <c r="AB194" s="178" t="s">
        <v>3117</v>
      </c>
      <c r="AH194"/>
      <c r="AI194"/>
    </row>
    <row r="195" spans="2:35">
      <c r="B195" s="182" t="str">
        <f t="shared" si="19"/>
        <v>Overlay with reversed spring function</v>
      </c>
      <c r="M195" s="133" t="s">
        <v>71</v>
      </c>
      <c r="N195" s="133" t="s">
        <v>71</v>
      </c>
      <c r="O195" s="133" t="s">
        <v>223</v>
      </c>
      <c r="P195" s="133" t="s">
        <v>287</v>
      </c>
      <c r="Q195" s="133" t="s">
        <v>1453</v>
      </c>
      <c r="R195" s="325" t="s">
        <v>3846</v>
      </c>
      <c r="AA195" s="179" t="s">
        <v>3495</v>
      </c>
      <c r="AB195" s="178" t="s">
        <v>3118</v>
      </c>
      <c r="AH195"/>
      <c r="AI195"/>
    </row>
    <row r="196" spans="2:35">
      <c r="B196" s="182" t="str">
        <f t="shared" si="19"/>
        <v>Inset with reversed spring function</v>
      </c>
      <c r="M196" s="133" t="s">
        <v>72</v>
      </c>
      <c r="N196" s="133" t="s">
        <v>72</v>
      </c>
      <c r="O196" s="133" t="s">
        <v>224</v>
      </c>
      <c r="P196" s="133" t="s">
        <v>1246</v>
      </c>
      <c r="Q196" s="133" t="s">
        <v>1454</v>
      </c>
      <c r="R196" s="325" t="s">
        <v>3847</v>
      </c>
      <c r="AA196" s="179" t="s">
        <v>3496</v>
      </c>
      <c r="AB196" s="178" t="s">
        <v>3119</v>
      </c>
      <c r="AH196"/>
      <c r="AI196"/>
    </row>
    <row r="197" spans="2:35">
      <c r="B197" s="182" t="str">
        <f t="shared" si="19"/>
        <v>Clip on plate H2 for screws fixing</v>
      </c>
      <c r="M197" s="175" t="s">
        <v>87</v>
      </c>
      <c r="N197" s="133" t="s">
        <v>164</v>
      </c>
      <c r="O197" s="133" t="s">
        <v>225</v>
      </c>
      <c r="P197" s="133" t="s">
        <v>288</v>
      </c>
      <c r="Q197" s="133" t="s">
        <v>1455</v>
      </c>
      <c r="R197" s="325" t="s">
        <v>3848</v>
      </c>
      <c r="AA197" s="178" t="s">
        <v>3497</v>
      </c>
      <c r="AB197" s="178" t="s">
        <v>3120</v>
      </c>
      <c r="AH197"/>
      <c r="AI197"/>
    </row>
    <row r="198" spans="2:35">
      <c r="B198" s="182" t="str">
        <f t="shared" si="19"/>
        <v>Clip on plate H4 for screws fixing</v>
      </c>
      <c r="M198" s="175" t="s">
        <v>88</v>
      </c>
      <c r="N198" s="133" t="s">
        <v>165</v>
      </c>
      <c r="O198" s="133" t="s">
        <v>226</v>
      </c>
      <c r="P198" s="133" t="s">
        <v>289</v>
      </c>
      <c r="Q198" s="133" t="s">
        <v>1456</v>
      </c>
      <c r="R198" s="325" t="s">
        <v>3849</v>
      </c>
      <c r="AA198" s="178" t="s">
        <v>3498</v>
      </c>
      <c r="AB198" s="178" t="s">
        <v>3121</v>
      </c>
      <c r="AH198"/>
      <c r="AI198"/>
    </row>
    <row r="199" spans="2:35">
      <c r="B199" s="182" t="str">
        <f t="shared" si="19"/>
        <v>Clip on plate H2 for Euro-screws fixing</v>
      </c>
      <c r="M199" s="175" t="s">
        <v>89</v>
      </c>
      <c r="N199" s="133" t="s">
        <v>166</v>
      </c>
      <c r="O199" s="133" t="s">
        <v>227</v>
      </c>
      <c r="P199" s="133" t="s">
        <v>290</v>
      </c>
      <c r="Q199" s="133" t="s">
        <v>1457</v>
      </c>
      <c r="R199" s="325" t="s">
        <v>4215</v>
      </c>
      <c r="AA199" s="179" t="s">
        <v>3499</v>
      </c>
      <c r="AB199" s="178" t="s">
        <v>3117</v>
      </c>
      <c r="AH199"/>
      <c r="AI199"/>
    </row>
    <row r="200" spans="2:35">
      <c r="B200" s="182" t="str">
        <f t="shared" si="19"/>
        <v>Clip on plate H4 for Euro-screws fixing</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plate H2  for screw fixing</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plate H4  for screw fixing</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plate H2  for Euro-screw fixing</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plate H4  for Euro-screw fixing</v>
      </c>
      <c r="M204" s="175" t="s">
        <v>94</v>
      </c>
      <c r="N204" s="133" t="s">
        <v>171</v>
      </c>
      <c r="O204" s="133" t="s">
        <v>232</v>
      </c>
      <c r="P204" s="133" t="s">
        <v>295</v>
      </c>
      <c r="Q204" s="133" t="s">
        <v>1462</v>
      </c>
      <c r="R204" s="325" t="s">
        <v>3854</v>
      </c>
      <c r="AA204" s="178" t="s">
        <v>3503</v>
      </c>
      <c r="AB204" s="209" t="s">
        <v>3125</v>
      </c>
      <c r="AH204"/>
      <c r="AI204"/>
    </row>
    <row r="205" spans="2:35">
      <c r="B205" s="182" t="str">
        <f t="shared" si="19"/>
        <v>Overlay for Blumotion</v>
      </c>
      <c r="M205" s="175" t="s">
        <v>78</v>
      </c>
      <c r="N205" s="133" t="s">
        <v>172</v>
      </c>
      <c r="O205" s="133" t="s">
        <v>233</v>
      </c>
      <c r="P205" s="133" t="s">
        <v>296</v>
      </c>
      <c r="Q205" s="133" t="s">
        <v>1463</v>
      </c>
      <c r="R205" s="325" t="s">
        <v>3855</v>
      </c>
      <c r="AA205" s="179" t="s">
        <v>4544</v>
      </c>
      <c r="AB205" s="178" t="s">
        <v>4523</v>
      </c>
      <c r="AH205"/>
      <c r="AI205"/>
    </row>
    <row r="206" spans="2:35">
      <c r="B206" s="182" t="str">
        <f t="shared" si="19"/>
        <v>Half-overlay with integrated Blumotion</v>
      </c>
      <c r="M206" s="175" t="s">
        <v>432</v>
      </c>
      <c r="N206" s="133" t="s">
        <v>471</v>
      </c>
      <c r="O206" s="133" t="s">
        <v>1301</v>
      </c>
      <c r="P206" s="133" t="s">
        <v>482</v>
      </c>
      <c r="Q206" s="133" t="s">
        <v>1464</v>
      </c>
      <c r="R206" s="325" t="s">
        <v>3856</v>
      </c>
      <c r="AA206" s="178" t="s">
        <v>3504</v>
      </c>
      <c r="AB206" s="178" t="s">
        <v>3126</v>
      </c>
      <c r="AH206"/>
      <c r="AI206"/>
    </row>
    <row r="207" spans="2:35">
      <c r="B207" s="182" t="str">
        <f t="shared" si="19"/>
        <v>Inset with integrated Blumotion</v>
      </c>
      <c r="M207" s="175" t="s">
        <v>433</v>
      </c>
      <c r="N207" s="133" t="s">
        <v>472</v>
      </c>
      <c r="O207" s="133" t="s">
        <v>1302</v>
      </c>
      <c r="P207" s="133" t="s">
        <v>1247</v>
      </c>
      <c r="Q207" s="133" t="s">
        <v>1465</v>
      </c>
      <c r="R207" s="325" t="s">
        <v>3857</v>
      </c>
      <c r="AA207" s="178" t="s">
        <v>3505</v>
      </c>
      <c r="AB207" s="178" t="s">
        <v>3172</v>
      </c>
      <c r="AH207"/>
      <c r="AI207"/>
    </row>
    <row r="208" spans="2:35">
      <c r="B208" s="182" t="str">
        <f t="shared" si="19"/>
        <v>45° clip-on overlay</v>
      </c>
      <c r="M208" s="133" t="s">
        <v>80</v>
      </c>
      <c r="N208" s="133" t="s">
        <v>173</v>
      </c>
      <c r="O208" s="133" t="s">
        <v>234</v>
      </c>
      <c r="P208" s="133" t="s">
        <v>297</v>
      </c>
      <c r="Q208" s="133" t="s">
        <v>1466</v>
      </c>
      <c r="R208" s="325" t="s">
        <v>3858</v>
      </c>
      <c r="AA208" s="178" t="s">
        <v>3506</v>
      </c>
      <c r="AB208" s="209" t="s">
        <v>3170</v>
      </c>
      <c r="AH208"/>
      <c r="AI208"/>
    </row>
    <row r="209" spans="2:35">
      <c r="B209" s="182" t="str">
        <f t="shared" si="19"/>
        <v>45° clip-on half overlay</v>
      </c>
      <c r="M209" s="133" t="s">
        <v>79</v>
      </c>
      <c r="N209" s="133" t="s">
        <v>79</v>
      </c>
      <c r="O209" s="133" t="s">
        <v>235</v>
      </c>
      <c r="P209" s="133" t="s">
        <v>1248</v>
      </c>
      <c r="Q209" s="133" t="s">
        <v>1467</v>
      </c>
      <c r="R209" s="325" t="s">
        <v>3859</v>
      </c>
      <c r="AA209" s="178" t="s">
        <v>3507</v>
      </c>
      <c r="AB209" s="209" t="s">
        <v>3127</v>
      </c>
      <c r="AH209"/>
      <c r="AI209"/>
    </row>
    <row r="210" spans="2:35">
      <c r="B210" s="182" t="str">
        <f t="shared" si="19"/>
        <v>Overlay without spring  (TIP-ON)</v>
      </c>
      <c r="M210" s="133" t="s">
        <v>73</v>
      </c>
      <c r="N210" s="133" t="s">
        <v>73</v>
      </c>
      <c r="O210" s="133" t="s">
        <v>236</v>
      </c>
      <c r="P210" s="133" t="s">
        <v>298</v>
      </c>
      <c r="Q210" s="133" t="s">
        <v>1468</v>
      </c>
      <c r="R210" s="325" t="s">
        <v>3860</v>
      </c>
      <c r="AA210" s="178" t="s">
        <v>3508</v>
      </c>
      <c r="AB210" s="178" t="s">
        <v>3128</v>
      </c>
      <c r="AH210"/>
      <c r="AI210"/>
    </row>
    <row r="211" spans="2:35">
      <c r="B211" s="182" t="str">
        <f t="shared" si="19"/>
        <v>Inset without spring (TIP-ON)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Clip-on for Euro-screw fixing</v>
      </c>
      <c r="M212" s="133" t="s">
        <v>83</v>
      </c>
      <c r="N212" s="133" t="s">
        <v>175</v>
      </c>
      <c r="O212" s="133" t="s">
        <v>238</v>
      </c>
      <c r="P212" s="133" t="s">
        <v>300</v>
      </c>
      <c r="Q212" s="133" t="s">
        <v>1470</v>
      </c>
      <c r="R212" s="325" t="s">
        <v>3862</v>
      </c>
      <c r="AA212" s="178" t="s">
        <v>3510</v>
      </c>
      <c r="AB212" s="209" t="s">
        <v>2568</v>
      </c>
      <c r="AH212"/>
      <c r="AI212"/>
    </row>
    <row r="213" spans="2:35">
      <c r="B213" s="182" t="str">
        <f t="shared" si="19"/>
        <v>Clip-on for screw fixing</v>
      </c>
      <c r="M213" s="133" t="s">
        <v>82</v>
      </c>
      <c r="N213" s="133" t="s">
        <v>176</v>
      </c>
      <c r="O213" s="133" t="s">
        <v>239</v>
      </c>
      <c r="P213" s="133" t="s">
        <v>301</v>
      </c>
      <c r="Q213" s="133" t="s">
        <v>1471</v>
      </c>
      <c r="R213" s="325" t="s">
        <v>3863</v>
      </c>
      <c r="AA213" s="178" t="s">
        <v>3511</v>
      </c>
      <c r="AB213" s="209" t="s">
        <v>3171</v>
      </c>
      <c r="AH213"/>
      <c r="AI213"/>
    </row>
    <row r="214" spans="2:35">
      <c r="B214" s="182" t="str">
        <f t="shared" si="19"/>
        <v>Increased by 6 mm</v>
      </c>
      <c r="M214" s="133" t="s">
        <v>84</v>
      </c>
      <c r="N214" s="133" t="s">
        <v>177</v>
      </c>
      <c r="O214" s="133" t="s">
        <v>1303</v>
      </c>
      <c r="P214" s="133" t="s">
        <v>302</v>
      </c>
      <c r="Q214" s="133" t="s">
        <v>906</v>
      </c>
      <c r="R214" s="325" t="s">
        <v>3864</v>
      </c>
      <c r="AA214" s="178" t="s">
        <v>3512</v>
      </c>
      <c r="AB214" s="209" t="s">
        <v>3130</v>
      </c>
      <c r="AH214"/>
      <c r="AI214"/>
    </row>
    <row r="215" spans="2:35">
      <c r="B215" s="182" t="str">
        <f t="shared" si="19"/>
        <v>45° clip-on</v>
      </c>
      <c r="M215" s="133" t="s">
        <v>0</v>
      </c>
      <c r="N215" s="133" t="s">
        <v>178</v>
      </c>
      <c r="O215" s="133" t="s">
        <v>0</v>
      </c>
      <c r="P215" s="133" t="s">
        <v>1249</v>
      </c>
      <c r="Q215" s="133" t="s">
        <v>1472</v>
      </c>
      <c r="R215" s="325" t="s">
        <v>3865</v>
      </c>
      <c r="AA215" s="178" t="s">
        <v>3513</v>
      </c>
      <c r="AB215" s="209" t="s">
        <v>3131</v>
      </c>
      <c r="AH215"/>
      <c r="AI215"/>
    </row>
    <row r="216" spans="2:35">
      <c r="B216" s="182" t="str">
        <f t="shared" si="19"/>
        <v>Clip-on H0 for Euro-Screw fixing</v>
      </c>
      <c r="M216" s="133" t="s">
        <v>86</v>
      </c>
      <c r="N216" s="133" t="s">
        <v>179</v>
      </c>
      <c r="O216" s="133" t="s">
        <v>240</v>
      </c>
      <c r="P216" s="133" t="s">
        <v>303</v>
      </c>
      <c r="Q216" s="133" t="s">
        <v>1473</v>
      </c>
      <c r="R216" s="325" t="s">
        <v>3866</v>
      </c>
      <c r="AA216" s="178" t="s">
        <v>3514</v>
      </c>
      <c r="AB216" s="209" t="s">
        <v>3132</v>
      </c>
      <c r="AH216"/>
      <c r="AI216"/>
    </row>
    <row r="217" spans="2:35">
      <c r="B217" s="182" t="str">
        <f t="shared" si="19"/>
        <v>Clip-on H0 for screw fixing</v>
      </c>
      <c r="M217" s="133" t="s">
        <v>85</v>
      </c>
      <c r="N217" s="133" t="s">
        <v>180</v>
      </c>
      <c r="O217" s="133" t="s">
        <v>241</v>
      </c>
      <c r="P217" s="133" t="s">
        <v>304</v>
      </c>
      <c r="Q217" s="133" t="s">
        <v>1474</v>
      </c>
      <c r="R217" s="325" t="s">
        <v>3867</v>
      </c>
      <c r="AA217" s="178" t="s">
        <v>3515</v>
      </c>
      <c r="AB217" s="209" t="s">
        <v>3133</v>
      </c>
      <c r="AH217"/>
      <c r="AI217"/>
    </row>
    <row r="218" spans="2:35">
      <c r="B218" s="182" t="str">
        <f t="shared" si="19"/>
        <v>Select Frame Position</v>
      </c>
      <c r="M218" s="133" t="s">
        <v>104</v>
      </c>
      <c r="N218" s="133" t="s">
        <v>181</v>
      </c>
      <c r="O218" s="133" t="s">
        <v>1304</v>
      </c>
      <c r="P218" s="133" t="s">
        <v>305</v>
      </c>
      <c r="Q218" s="133" t="s">
        <v>1351</v>
      </c>
      <c r="R218" s="325" t="s">
        <v>3868</v>
      </c>
      <c r="AA218" s="177" t="s">
        <v>3516</v>
      </c>
      <c r="AB218" s="209" t="s">
        <v>3134</v>
      </c>
      <c r="AH218"/>
      <c r="AI218"/>
    </row>
    <row r="219" spans="2:35">
      <c r="B219" s="182" t="str">
        <f t="shared" si="19"/>
        <v>Hinge manufacturer</v>
      </c>
      <c r="M219" s="133" t="s">
        <v>95</v>
      </c>
      <c r="N219" s="133" t="s">
        <v>182</v>
      </c>
      <c r="O219" s="133" t="s">
        <v>242</v>
      </c>
      <c r="P219" s="133" t="s">
        <v>306</v>
      </c>
      <c r="Q219" s="133" t="s">
        <v>1352</v>
      </c>
      <c r="R219" s="325" t="s">
        <v>3869</v>
      </c>
      <c r="AA219" s="34" t="s">
        <v>3517</v>
      </c>
      <c r="AB219" s="185" t="s">
        <v>3135</v>
      </c>
      <c r="AH219"/>
      <c r="AI219"/>
    </row>
    <row r="220" spans="2:35">
      <c r="B220" s="182" t="str">
        <f t="shared" si="19"/>
        <v>Type of hinge</v>
      </c>
      <c r="M220" s="133" t="s">
        <v>96</v>
      </c>
      <c r="N220" s="133" t="s">
        <v>183</v>
      </c>
      <c r="O220" s="133" t="s">
        <v>243</v>
      </c>
      <c r="P220" s="133" t="s">
        <v>307</v>
      </c>
      <c r="Q220" s="133" t="s">
        <v>1475</v>
      </c>
      <c r="R220" s="325" t="s">
        <v>3870</v>
      </c>
      <c r="AA220" s="34" t="s">
        <v>3518</v>
      </c>
      <c r="AB220" s="185" t="s">
        <v>3136</v>
      </c>
      <c r="AH220"/>
      <c r="AI220"/>
    </row>
    <row r="221" spans="2:35">
      <c r="B221" s="182" t="str">
        <f t="shared" si="19"/>
        <v>Type of Aventos</v>
      </c>
      <c r="M221" s="175" t="s">
        <v>97</v>
      </c>
      <c r="N221" s="133" t="s">
        <v>97</v>
      </c>
      <c r="O221" s="133" t="s">
        <v>244</v>
      </c>
      <c r="P221" s="133" t="s">
        <v>1250</v>
      </c>
      <c r="Q221" s="133" t="s">
        <v>1476</v>
      </c>
      <c r="R221" s="325" t="s">
        <v>3871</v>
      </c>
      <c r="AA221" s="185" t="s">
        <v>3519</v>
      </c>
      <c r="AB221" s="185" t="s">
        <v>3137</v>
      </c>
      <c r="AH221"/>
      <c r="AI221"/>
    </row>
    <row r="222" spans="2:35">
      <c r="B222" s="182" t="str">
        <f t="shared" si="19"/>
        <v>Type of mounting plate</v>
      </c>
      <c r="M222" s="175" t="s">
        <v>98</v>
      </c>
      <c r="N222" s="133" t="s">
        <v>98</v>
      </c>
      <c r="O222" s="133" t="s">
        <v>245</v>
      </c>
      <c r="P222" s="133" t="s">
        <v>308</v>
      </c>
      <c r="Q222" s="133" t="s">
        <v>1477</v>
      </c>
      <c r="R222" s="325" t="s">
        <v>3872</v>
      </c>
      <c r="AA222" s="185" t="s">
        <v>3520</v>
      </c>
      <c r="AB222" s="185" t="s">
        <v>2599</v>
      </c>
      <c r="AH222"/>
      <c r="AI222"/>
    </row>
    <row r="223" spans="2:35">
      <c r="B223" s="182" t="str">
        <f t="shared" si="19"/>
        <v>Number of hinges per frame</v>
      </c>
      <c r="M223" s="175" t="s">
        <v>2331</v>
      </c>
      <c r="N223" s="133" t="s">
        <v>184</v>
      </c>
      <c r="O223" s="133" t="s">
        <v>246</v>
      </c>
      <c r="P223" s="133" t="s">
        <v>309</v>
      </c>
      <c r="Q223" s="133" t="s">
        <v>1353</v>
      </c>
      <c r="R223" s="325" t="s">
        <v>3873</v>
      </c>
      <c r="AA223" s="185" t="s">
        <v>3521</v>
      </c>
      <c r="AB223" s="185" t="s">
        <v>3138</v>
      </c>
      <c r="AH223"/>
      <c r="AI223"/>
    </row>
    <row r="224" spans="2:35">
      <c r="B224" s="182" t="str">
        <f t="shared" si="19"/>
        <v>Lift-up pistons</v>
      </c>
      <c r="M224" s="175" t="s">
        <v>100</v>
      </c>
      <c r="N224" s="133" t="s">
        <v>185</v>
      </c>
      <c r="O224" s="133" t="s">
        <v>247</v>
      </c>
      <c r="P224" s="133" t="s">
        <v>1251</v>
      </c>
      <c r="Q224" s="133" t="s">
        <v>1478</v>
      </c>
      <c r="R224" s="325" t="s">
        <v>3874</v>
      </c>
      <c r="AA224" s="185" t="s">
        <v>3522</v>
      </c>
      <c r="AB224" s="185" t="s">
        <v>3173</v>
      </c>
      <c r="AH224"/>
      <c r="AI224"/>
    </row>
    <row r="225" spans="2:35">
      <c r="B225" s="182" t="str">
        <f t="shared" si="19"/>
        <v>Supply including specified fittings</v>
      </c>
      <c r="M225" s="175" t="s">
        <v>99</v>
      </c>
      <c r="N225" s="133" t="s">
        <v>186</v>
      </c>
      <c r="O225" s="133" t="s">
        <v>274</v>
      </c>
      <c r="P225" s="133" t="s">
        <v>1252</v>
      </c>
      <c r="Q225" s="133" t="s">
        <v>1354</v>
      </c>
      <c r="R225" s="325" t="s">
        <v>3875</v>
      </c>
      <c r="AA225" s="325" t="s">
        <v>3728</v>
      </c>
      <c r="AB225" s="178" t="s">
        <v>554</v>
      </c>
      <c r="AH225"/>
      <c r="AI225"/>
    </row>
    <row r="226" spans="2:35">
      <c r="B226" s="182" t="str">
        <f t="shared" si="19"/>
        <v>Position</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Top</v>
      </c>
      <c r="M227" s="175" t="s">
        <v>111</v>
      </c>
      <c r="N227" s="133" t="s">
        <v>1134</v>
      </c>
      <c r="O227" s="133" t="s">
        <v>1132</v>
      </c>
      <c r="P227" s="133" t="s">
        <v>1133</v>
      </c>
      <c r="Q227" s="133" t="s">
        <v>1355</v>
      </c>
      <c r="R227" s="325" t="s">
        <v>3877</v>
      </c>
      <c r="AA227" s="325" t="s">
        <v>3730</v>
      </c>
      <c r="AB227" s="178" t="s">
        <v>4525</v>
      </c>
      <c r="AH227"/>
      <c r="AI227"/>
    </row>
    <row r="228" spans="2:35">
      <c r="B228" s="182" t="str">
        <f t="shared" si="19"/>
        <v>Bottom</v>
      </c>
      <c r="M228" s="175" t="s">
        <v>112</v>
      </c>
      <c r="N228" s="133" t="s">
        <v>112</v>
      </c>
      <c r="O228" s="133" t="s">
        <v>1305</v>
      </c>
      <c r="P228" s="133" t="s">
        <v>1135</v>
      </c>
      <c r="Q228" s="133" t="s">
        <v>916</v>
      </c>
      <c r="R228" s="325" t="s">
        <v>3878</v>
      </c>
      <c r="AA228" s="325" t="s">
        <v>3731</v>
      </c>
      <c r="AB228" s="178" t="s">
        <v>3100</v>
      </c>
      <c r="AH228"/>
      <c r="AI228"/>
    </row>
    <row r="229" spans="2:35">
      <c r="B229" s="182" t="str">
        <f t="shared" si="19"/>
        <v>Right</v>
      </c>
      <c r="M229" s="175" t="s">
        <v>102</v>
      </c>
      <c r="N229" s="133" t="s">
        <v>187</v>
      </c>
      <c r="O229" s="133" t="s">
        <v>248</v>
      </c>
      <c r="P229" s="133" t="s">
        <v>310</v>
      </c>
      <c r="Q229" s="133" t="s">
        <v>907</v>
      </c>
      <c r="R229" s="325" t="s">
        <v>3879</v>
      </c>
      <c r="AA229" s="325" t="s">
        <v>3732</v>
      </c>
      <c r="AB229" s="178" t="s">
        <v>4526</v>
      </c>
      <c r="AH229"/>
      <c r="AI229"/>
    </row>
    <row r="230" spans="2:35">
      <c r="B230" s="182" t="str">
        <f t="shared" si="19"/>
        <v>Left</v>
      </c>
      <c r="M230" s="175" t="s">
        <v>101</v>
      </c>
      <c r="N230" s="133" t="s">
        <v>188</v>
      </c>
      <c r="O230" s="133" t="s">
        <v>249</v>
      </c>
      <c r="P230" s="133" t="s">
        <v>311</v>
      </c>
      <c r="Q230" s="133" t="s">
        <v>908</v>
      </c>
      <c r="R230" s="325" t="s">
        <v>3880</v>
      </c>
      <c r="AA230" s="325" t="s">
        <v>3733</v>
      </c>
      <c r="AB230" s="178" t="s">
        <v>4527</v>
      </c>
      <c r="AH230"/>
      <c r="AI230"/>
    </row>
    <row r="231" spans="2:35">
      <c r="B231" s="182" t="str">
        <f t="shared" si="19"/>
        <v>2 Pieces (both sides)</v>
      </c>
      <c r="M231" s="175" t="s">
        <v>103</v>
      </c>
      <c r="N231" s="133" t="s">
        <v>189</v>
      </c>
      <c r="O231" s="133" t="s">
        <v>250</v>
      </c>
      <c r="P231" s="133" t="s">
        <v>312</v>
      </c>
      <c r="Q231" s="133" t="s">
        <v>909</v>
      </c>
      <c r="R231" s="325" t="s">
        <v>3881</v>
      </c>
      <c r="AA231" s="325" t="s">
        <v>3734</v>
      </c>
      <c r="AB231" s="178" t="s">
        <v>4528</v>
      </c>
      <c r="AH231"/>
      <c r="AI231"/>
    </row>
    <row r="232" spans="2:35">
      <c r="B232" s="182" t="str">
        <f t="shared" si="19"/>
        <v>Second door type</v>
      </c>
      <c r="M232" s="175" t="s">
        <v>115</v>
      </c>
      <c r="N232" s="133" t="s">
        <v>190</v>
      </c>
      <c r="O232" s="133" t="s">
        <v>273</v>
      </c>
      <c r="P232" s="133" t="s">
        <v>1253</v>
      </c>
      <c r="Q232" s="133" t="s">
        <v>1479</v>
      </c>
      <c r="R232" s="325" t="s">
        <v>3882</v>
      </c>
      <c r="AA232" s="325" t="s">
        <v>3735</v>
      </c>
      <c r="AB232" s="179" t="s">
        <v>1603</v>
      </c>
      <c r="AH232"/>
      <c r="AI232"/>
    </row>
    <row r="233" spans="2:35">
      <c r="B233" s="182" t="str">
        <f t="shared" si="19"/>
        <v>Narrow ALU Frame</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Wide ALU Frame</v>
      </c>
      <c r="M234" s="175" t="s">
        <v>106</v>
      </c>
      <c r="N234" s="133" t="s">
        <v>192</v>
      </c>
      <c r="O234" s="133" t="s">
        <v>252</v>
      </c>
      <c r="P234" s="133" t="s">
        <v>314</v>
      </c>
      <c r="Q234" s="133" t="s">
        <v>1357</v>
      </c>
      <c r="R234" s="325" t="s">
        <v>3884</v>
      </c>
      <c r="AA234" s="325" t="s">
        <v>4513</v>
      </c>
      <c r="AB234" s="178" t="s">
        <v>4519</v>
      </c>
      <c r="AH234"/>
      <c r="AI234"/>
    </row>
    <row r="235" spans="2:35">
      <c r="B235" s="182" t="str">
        <f t="shared" si="20"/>
        <v xml:space="preserve">MDF 16 mm </v>
      </c>
      <c r="M235" s="175" t="s">
        <v>108</v>
      </c>
      <c r="N235" s="133" t="s">
        <v>193</v>
      </c>
      <c r="O235" s="133" t="s">
        <v>253</v>
      </c>
      <c r="P235" s="133" t="s">
        <v>315</v>
      </c>
      <c r="Q235" s="133" t="s">
        <v>1480</v>
      </c>
      <c r="R235" s="325" t="s">
        <v>3885</v>
      </c>
      <c r="AA235" s="325" t="s">
        <v>4505</v>
      </c>
      <c r="AB235" s="178" t="s">
        <v>4521</v>
      </c>
      <c r="AH235"/>
      <c r="AI235"/>
    </row>
    <row r="236" spans="2:35">
      <c r="B236" s="182" t="str">
        <f t="shared" si="20"/>
        <v xml:space="preserve">MDF 18 mm </v>
      </c>
      <c r="M236" s="175" t="s">
        <v>107</v>
      </c>
      <c r="N236" s="133" t="s">
        <v>194</v>
      </c>
      <c r="O236" s="133" t="s">
        <v>254</v>
      </c>
      <c r="P236" s="133" t="s">
        <v>316</v>
      </c>
      <c r="Q236" s="133" t="s">
        <v>1481</v>
      </c>
      <c r="R236" s="325" t="s">
        <v>3886</v>
      </c>
      <c r="AA236" s="325" t="s">
        <v>3737</v>
      </c>
      <c r="AB236" s="178" t="s">
        <v>555</v>
      </c>
      <c r="AH236"/>
      <c r="AI236"/>
    </row>
    <row r="237" spans="2:35">
      <c r="B237" s="182" t="str">
        <f t="shared" si="20"/>
        <v>DTDL 18 mm</v>
      </c>
      <c r="M237" s="175" t="s">
        <v>109</v>
      </c>
      <c r="N237" s="133" t="s">
        <v>195</v>
      </c>
      <c r="O237" s="133" t="s">
        <v>1306</v>
      </c>
      <c r="P237" s="133" t="s">
        <v>1254</v>
      </c>
      <c r="Q237" s="133" t="s">
        <v>965</v>
      </c>
      <c r="R237" s="325" t="s">
        <v>3887</v>
      </c>
      <c r="AA237" s="325" t="s">
        <v>3738</v>
      </c>
      <c r="AB237" s="178" t="s">
        <v>3105</v>
      </c>
      <c r="AH237"/>
      <c r="AI237"/>
    </row>
    <row r="238" spans="2:35">
      <c r="B238" s="182" t="str">
        <f t="shared" si="20"/>
        <v>Hinge position</v>
      </c>
      <c r="M238" s="175" t="s">
        <v>110</v>
      </c>
      <c r="N238" s="133" t="s">
        <v>196</v>
      </c>
      <c r="O238" s="133" t="s">
        <v>255</v>
      </c>
      <c r="P238" s="133" t="s">
        <v>317</v>
      </c>
      <c r="Q238" s="133" t="s">
        <v>1358</v>
      </c>
      <c r="R238" s="325" t="s">
        <v>3888</v>
      </c>
      <c r="AA238" s="325" t="s">
        <v>3739</v>
      </c>
      <c r="AB238" s="178" t="s">
        <v>3106</v>
      </c>
      <c r="AH238"/>
      <c r="AI238"/>
    </row>
    <row r="239" spans="2:35">
      <c r="B239" s="182" t="str">
        <f t="shared" si="20"/>
        <v>Top</v>
      </c>
      <c r="M239" s="175" t="s">
        <v>111</v>
      </c>
      <c r="N239" s="133" t="s">
        <v>197</v>
      </c>
      <c r="O239" s="133" t="s">
        <v>1132</v>
      </c>
      <c r="P239" s="133" t="s">
        <v>1133</v>
      </c>
      <c r="Q239" s="133" t="s">
        <v>1355</v>
      </c>
      <c r="R239" s="325" t="s">
        <v>3877</v>
      </c>
      <c r="AA239" s="325" t="s">
        <v>3740</v>
      </c>
      <c r="AB239" s="178" t="s">
        <v>3107</v>
      </c>
      <c r="AH239"/>
      <c r="AI239"/>
    </row>
    <row r="240" spans="2:35">
      <c r="B240" s="182" t="str">
        <f t="shared" si="20"/>
        <v>Bottom</v>
      </c>
      <c r="M240" s="175" t="s">
        <v>112</v>
      </c>
      <c r="N240" s="133" t="s">
        <v>112</v>
      </c>
      <c r="O240" s="133" t="s">
        <v>1305</v>
      </c>
      <c r="P240" s="133" t="s">
        <v>1135</v>
      </c>
      <c r="Q240" s="133" t="s">
        <v>916</v>
      </c>
      <c r="R240" s="325" t="s">
        <v>3878</v>
      </c>
      <c r="AA240" s="325" t="s">
        <v>3741</v>
      </c>
      <c r="AB240" s="178" t="s">
        <v>3108</v>
      </c>
      <c r="AH240"/>
      <c r="AI240"/>
    </row>
    <row r="241" spans="2:35">
      <c r="B241" s="182" t="str">
        <f t="shared" si="20"/>
        <v>select from list</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Distance from the left edge</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Hinge distance from edge of door</v>
      </c>
      <c r="M243" s="175" t="s">
        <v>116</v>
      </c>
      <c r="N243" s="133" t="s">
        <v>198</v>
      </c>
      <c r="O243" s="133" t="s">
        <v>256</v>
      </c>
      <c r="P243" s="133" t="s">
        <v>318</v>
      </c>
      <c r="Q243" s="133" t="s">
        <v>1482</v>
      </c>
      <c r="R243" s="325" t="s">
        <v>3890</v>
      </c>
      <c r="AA243" s="325" t="s">
        <v>3744</v>
      </c>
      <c r="AB243" s="179" t="s">
        <v>3111</v>
      </c>
      <c r="AH243"/>
      <c r="AI243"/>
    </row>
    <row r="244" spans="2:35">
      <c r="B244" s="182" t="str">
        <f t="shared" si="20"/>
        <v>Fill in only if drilling is not symmetrical</v>
      </c>
      <c r="M244" s="175" t="s">
        <v>117</v>
      </c>
      <c r="N244" s="133" t="s">
        <v>199</v>
      </c>
      <c r="O244" s="133" t="s">
        <v>877</v>
      </c>
      <c r="P244" s="133" t="s">
        <v>319</v>
      </c>
      <c r="Q244" s="133" t="s">
        <v>1483</v>
      </c>
      <c r="R244" s="325" t="s">
        <v>3891</v>
      </c>
      <c r="AA244" s="325" t="s">
        <v>3745</v>
      </c>
      <c r="AB244" s="178" t="s">
        <v>3112</v>
      </c>
      <c r="AH244"/>
      <c r="AI244"/>
    </row>
    <row r="245" spans="2:35">
      <c r="B245" s="182" t="str">
        <f t="shared" si="20"/>
        <v>Ordering Form - ALU frames</v>
      </c>
      <c r="M245" s="175" t="s">
        <v>118</v>
      </c>
      <c r="N245" s="133" t="s">
        <v>200</v>
      </c>
      <c r="O245" s="133" t="s">
        <v>257</v>
      </c>
      <c r="P245" s="133" t="s">
        <v>373</v>
      </c>
      <c r="Q245" s="133" t="s">
        <v>1484</v>
      </c>
      <c r="R245" s="325" t="s">
        <v>3892</v>
      </c>
      <c r="AA245" s="325" t="s">
        <v>3746</v>
      </c>
      <c r="AB245" s="178" t="s">
        <v>4522</v>
      </c>
      <c r="AH245"/>
      <c r="AI245"/>
    </row>
    <row r="246" spans="2:35">
      <c r="B246" s="182" t="str">
        <f t="shared" si="20"/>
        <v>Fill the form from top to the bottom. In case of change some boxes, please check previous data.</v>
      </c>
      <c r="M246" s="175" t="s">
        <v>152</v>
      </c>
      <c r="N246" s="133" t="s">
        <v>207</v>
      </c>
      <c r="O246" s="133" t="s">
        <v>258</v>
      </c>
      <c r="P246" s="133" t="s">
        <v>1255</v>
      </c>
      <c r="Q246" s="133" t="s">
        <v>1485</v>
      </c>
      <c r="R246" s="325" t="s">
        <v>3893</v>
      </c>
      <c r="AA246" s="325" t="s">
        <v>3749</v>
      </c>
      <c r="AB246" s="178" t="s">
        <v>3113</v>
      </c>
      <c r="AH246"/>
      <c r="AI246"/>
    </row>
    <row r="247" spans="2:35">
      <c r="B247" s="182" t="str">
        <f t="shared" si="20"/>
        <v>Prices are valid from  27.1.2026/Version 8.2</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Total Price</v>
      </c>
      <c r="M248" s="175" t="s">
        <v>15</v>
      </c>
      <c r="N248" s="133" t="s">
        <v>201</v>
      </c>
      <c r="O248" s="133" t="s">
        <v>259</v>
      </c>
      <c r="P248" s="133" t="s">
        <v>320</v>
      </c>
      <c r="Q248" s="133" t="s">
        <v>1359</v>
      </c>
      <c r="R248" s="325" t="s">
        <v>3894</v>
      </c>
      <c r="AA248" s="325" t="s">
        <v>3751</v>
      </c>
      <c r="AB248" s="179" t="s">
        <v>3115</v>
      </c>
      <c r="AH248"/>
      <c r="AI248"/>
    </row>
    <row r="249" spans="2:35">
      <c r="B249" s="182" t="str">
        <f t="shared" si="20"/>
        <v>Customer</v>
      </c>
      <c r="M249" s="175" t="s">
        <v>120</v>
      </c>
      <c r="N249" s="133" t="s">
        <v>120</v>
      </c>
      <c r="O249" s="133" t="s">
        <v>260</v>
      </c>
      <c r="P249" s="133" t="s">
        <v>321</v>
      </c>
      <c r="Q249" s="133" t="s">
        <v>910</v>
      </c>
      <c r="R249" s="325" t="s">
        <v>3895</v>
      </c>
      <c r="AA249" s="325" t="s">
        <v>3754</v>
      </c>
      <c r="AB249" s="178" t="s">
        <v>3116</v>
      </c>
      <c r="AH249"/>
      <c r="AI249"/>
    </row>
    <row r="250" spans="2:35">
      <c r="B250" s="182" t="str">
        <f t="shared" si="20"/>
        <v>Phone:</v>
      </c>
      <c r="M250" s="175" t="s">
        <v>122</v>
      </c>
      <c r="N250" s="133" t="s">
        <v>202</v>
      </c>
      <c r="O250" s="133" t="s">
        <v>261</v>
      </c>
      <c r="P250" s="133" t="s">
        <v>322</v>
      </c>
      <c r="Q250" s="133" t="s">
        <v>1486</v>
      </c>
      <c r="R250" s="325" t="s">
        <v>3896</v>
      </c>
      <c r="AA250" s="325" t="s">
        <v>3755</v>
      </c>
      <c r="AB250" s="178" t="s">
        <v>3117</v>
      </c>
      <c r="AH250"/>
      <c r="AI250"/>
    </row>
    <row r="251" spans="2:35">
      <c r="B251" s="182" t="str">
        <f t="shared" si="20"/>
        <v>Contact E-mail:</v>
      </c>
      <c r="M251" s="175" t="s">
        <v>123</v>
      </c>
      <c r="N251" s="133" t="s">
        <v>203</v>
      </c>
      <c r="O251" s="133" t="s">
        <v>262</v>
      </c>
      <c r="P251" s="133" t="s">
        <v>323</v>
      </c>
      <c r="Q251" s="133" t="s">
        <v>1487</v>
      </c>
      <c r="R251" s="325" t="s">
        <v>3897</v>
      </c>
      <c r="AA251" s="325" t="s">
        <v>3756</v>
      </c>
      <c r="AB251" s="178" t="s">
        <v>3118</v>
      </c>
      <c r="AH251"/>
      <c r="AI251"/>
    </row>
    <row r="252" spans="2:35">
      <c r="B252" s="182" t="str">
        <f t="shared" si="20"/>
        <v>Address of shop:</v>
      </c>
      <c r="M252" s="175" t="s">
        <v>121</v>
      </c>
      <c r="N252" s="133" t="s">
        <v>204</v>
      </c>
      <c r="O252" s="133" t="s">
        <v>263</v>
      </c>
      <c r="P252" s="133" t="s">
        <v>324</v>
      </c>
      <c r="Q252" s="133" t="s">
        <v>1488</v>
      </c>
      <c r="R252" s="325" t="s">
        <v>3898</v>
      </c>
      <c r="AA252" s="325" t="s">
        <v>3757</v>
      </c>
      <c r="AB252" s="178" t="s">
        <v>3119</v>
      </c>
      <c r="AH252"/>
      <c r="AI252"/>
    </row>
    <row r="253" spans="2:35">
      <c r="B253" s="182" t="str">
        <f t="shared" si="20"/>
        <v>ID No:</v>
      </c>
      <c r="M253" s="175" t="s">
        <v>119</v>
      </c>
      <c r="N253" s="133" t="s">
        <v>119</v>
      </c>
      <c r="O253" s="133" t="s">
        <v>264</v>
      </c>
      <c r="P253" s="133" t="s">
        <v>119</v>
      </c>
      <c r="Q253" s="133" t="s">
        <v>1360</v>
      </c>
      <c r="R253" s="325" t="s">
        <v>3899</v>
      </c>
      <c r="AA253" s="325" t="s">
        <v>3758</v>
      </c>
      <c r="AB253" s="178" t="s">
        <v>3120</v>
      </c>
      <c r="AH253"/>
      <c r="AI253"/>
    </row>
    <row r="254" spans="2:35">
      <c r="B254" s="182" t="str">
        <f t="shared" si="20"/>
        <v>Discount on frames</v>
      </c>
      <c r="M254" s="175" t="s">
        <v>124</v>
      </c>
      <c r="N254" s="133" t="s">
        <v>205</v>
      </c>
      <c r="O254" s="133" t="s">
        <v>265</v>
      </c>
      <c r="P254" s="133" t="s">
        <v>325</v>
      </c>
      <c r="Q254" s="133" t="s">
        <v>911</v>
      </c>
      <c r="R254" s="325" t="s">
        <v>3900</v>
      </c>
      <c r="AA254" s="325" t="s">
        <v>3759</v>
      </c>
      <c r="AB254" s="178" t="s">
        <v>3121</v>
      </c>
      <c r="AH254"/>
      <c r="AI254"/>
    </row>
    <row r="255" spans="2:35">
      <c r="B255" s="182" t="str">
        <f t="shared" si="20"/>
        <v>Discount on fittings</v>
      </c>
      <c r="M255" s="175" t="s">
        <v>125</v>
      </c>
      <c r="N255" s="133" t="s">
        <v>206</v>
      </c>
      <c r="O255" s="133" t="s">
        <v>266</v>
      </c>
      <c r="P255" s="133" t="s">
        <v>326</v>
      </c>
      <c r="Q255" s="133" t="s">
        <v>912</v>
      </c>
      <c r="R255" s="325" t="s">
        <v>3901</v>
      </c>
      <c r="AA255" s="325" t="s">
        <v>3760</v>
      </c>
      <c r="AB255" s="178" t="s">
        <v>3117</v>
      </c>
      <c r="AH255"/>
      <c r="AI255"/>
    </row>
    <row r="256" spans="2:35">
      <c r="B256" s="182" t="str">
        <f t="shared" si="20"/>
        <v>Order No.</v>
      </c>
      <c r="M256" s="175" t="s">
        <v>145</v>
      </c>
      <c r="N256" s="133" t="s">
        <v>145</v>
      </c>
      <c r="O256" s="133" t="s">
        <v>11</v>
      </c>
      <c r="P256" s="133" t="s">
        <v>327</v>
      </c>
      <c r="Q256" s="133" t="s">
        <v>1361</v>
      </c>
      <c r="R256" s="325" t="s">
        <v>3902</v>
      </c>
      <c r="AA256" s="325" t="s">
        <v>4516</v>
      </c>
      <c r="AB256" s="178" t="s">
        <v>4520</v>
      </c>
      <c r="AH256"/>
      <c r="AI256"/>
    </row>
    <row r="257" spans="2:35">
      <c r="B257" s="182" t="str">
        <f t="shared" si="20"/>
        <v>Color previews for individual RAL and REF names are indicative only!!!!</v>
      </c>
      <c r="M257" s="175" t="s">
        <v>144</v>
      </c>
      <c r="N257" s="133" t="s">
        <v>209</v>
      </c>
      <c r="O257" s="133" t="s">
        <v>878</v>
      </c>
      <c r="P257" s="133" t="s">
        <v>1256</v>
      </c>
      <c r="Q257" s="133" t="s">
        <v>1362</v>
      </c>
      <c r="R257" s="325" t="s">
        <v>3903</v>
      </c>
      <c r="AA257" s="325" t="s">
        <v>3761</v>
      </c>
      <c r="AB257" s="178" t="s">
        <v>3122</v>
      </c>
      <c r="AH257"/>
      <c r="AI257"/>
    </row>
    <row r="258" spans="2:35">
      <c r="B258" s="182" t="str">
        <f t="shared" si="20"/>
        <v>Type of fittings</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without soft-closing</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Fill in only if drilling is not symmetrical</v>
      </c>
      <c r="M270" s="175" t="s">
        <v>271</v>
      </c>
      <c r="N270" s="133" t="s">
        <v>342</v>
      </c>
      <c r="O270" s="133" t="s">
        <v>346</v>
      </c>
      <c r="P270" s="133" t="s">
        <v>351</v>
      </c>
      <c r="Q270" s="133" t="s">
        <v>1483</v>
      </c>
      <c r="R270" s="325" t="s">
        <v>3891</v>
      </c>
      <c r="AA270" s="325" t="s">
        <v>3774</v>
      </c>
      <c r="AB270" s="209" t="s">
        <v>3130</v>
      </c>
    </row>
    <row r="271" spans="2:35">
      <c r="B271" s="182" t="str">
        <f t="shared" si="20"/>
        <v>Sliding frames</v>
      </c>
      <c r="M271" s="175" t="s">
        <v>7</v>
      </c>
      <c r="N271" s="133" t="s">
        <v>343</v>
      </c>
      <c r="O271" s="133" t="s">
        <v>506</v>
      </c>
      <c r="P271" s="133" t="s">
        <v>507</v>
      </c>
      <c r="Q271" s="133" t="s">
        <v>913</v>
      </c>
      <c r="R271" s="325" t="s">
        <v>3906</v>
      </c>
      <c r="AA271" s="325" t="s">
        <v>3775</v>
      </c>
      <c r="AB271" s="209" t="s">
        <v>3131</v>
      </c>
    </row>
    <row r="272" spans="2:35">
      <c r="B272" s="182" t="str">
        <f t="shared" si="20"/>
        <v>Default order is delivered including fittings and guiding profiles</v>
      </c>
      <c r="M272" s="175" t="s">
        <v>148</v>
      </c>
      <c r="N272" s="133" t="s">
        <v>336</v>
      </c>
      <c r="O272" s="133" t="s">
        <v>374</v>
      </c>
      <c r="P272" s="133" t="s">
        <v>1258</v>
      </c>
      <c r="Q272" s="133" t="s">
        <v>1491</v>
      </c>
      <c r="R272" s="325" t="s">
        <v>3907</v>
      </c>
      <c r="AA272" s="325" t="s">
        <v>3776</v>
      </c>
      <c r="AB272" s="209" t="s">
        <v>3132</v>
      </c>
    </row>
    <row r="273" spans="2:28">
      <c r="B273" s="182" t="str">
        <f t="shared" si="20"/>
        <v>Internal cabinet size (mm)</v>
      </c>
      <c r="M273" s="175" t="s">
        <v>339</v>
      </c>
      <c r="N273" s="133" t="s">
        <v>337</v>
      </c>
      <c r="O273" s="133" t="s">
        <v>347</v>
      </c>
      <c r="P273" s="133" t="s">
        <v>352</v>
      </c>
      <c r="Q273" s="133" t="s">
        <v>1363</v>
      </c>
      <c r="R273" s="325" t="s">
        <v>3908</v>
      </c>
      <c r="AA273" s="325" t="s">
        <v>3777</v>
      </c>
      <c r="AB273" s="209" t="s">
        <v>3133</v>
      </c>
    </row>
    <row r="274" spans="2:28">
      <c r="B274" s="182" t="str">
        <f t="shared" si="20"/>
        <v>Number of doors</v>
      </c>
      <c r="M274" s="175" t="s">
        <v>147</v>
      </c>
      <c r="N274" s="133" t="s">
        <v>338</v>
      </c>
      <c r="O274" s="133" t="s">
        <v>1307</v>
      </c>
      <c r="P274" s="133" t="s">
        <v>353</v>
      </c>
      <c r="Q274" s="133" t="s">
        <v>914</v>
      </c>
      <c r="R274" s="325" t="s">
        <v>3909</v>
      </c>
      <c r="AA274" s="325" t="s">
        <v>3778</v>
      </c>
      <c r="AB274" s="209" t="s">
        <v>3134</v>
      </c>
    </row>
    <row r="275" spans="2:28">
      <c r="B275" s="182" t="str">
        <f t="shared" si="20"/>
        <v>The standard door overlaps are shown here</v>
      </c>
      <c r="M275" s="175" t="s">
        <v>461</v>
      </c>
      <c r="N275" s="155" t="s">
        <v>340</v>
      </c>
      <c r="O275" s="133" t="s">
        <v>462</v>
      </c>
      <c r="P275" s="133" t="s">
        <v>1259</v>
      </c>
      <c r="Q275" s="133" t="s">
        <v>1364</v>
      </c>
      <c r="R275" s="325" t="s">
        <v>3910</v>
      </c>
      <c r="AA275" s="325" t="s">
        <v>3779</v>
      </c>
      <c r="AB275" s="185" t="s">
        <v>3135</v>
      </c>
    </row>
    <row r="276" spans="2:28">
      <c r="B276" s="182" t="str">
        <f t="shared" si="20"/>
        <v>color</v>
      </c>
      <c r="M276" s="175" t="s">
        <v>126</v>
      </c>
      <c r="N276" s="133" t="s">
        <v>341</v>
      </c>
      <c r="O276" s="133" t="s">
        <v>348</v>
      </c>
      <c r="P276" s="133" t="s">
        <v>354</v>
      </c>
      <c r="Q276" s="133" t="s">
        <v>1365</v>
      </c>
      <c r="R276" s="325" t="s">
        <v>3911</v>
      </c>
      <c r="AA276" s="325" t="s">
        <v>3780</v>
      </c>
      <c r="AB276" s="185" t="s">
        <v>3136</v>
      </c>
    </row>
    <row r="277" spans="2:28">
      <c r="B277" s="182" t="str">
        <f t="shared" si="20"/>
        <v>ALU Order</v>
      </c>
      <c r="M277" s="175" t="s">
        <v>334</v>
      </c>
      <c r="N277" s="133" t="s">
        <v>334</v>
      </c>
      <c r="O277" s="133" t="s">
        <v>349</v>
      </c>
      <c r="P277" s="133" t="s">
        <v>355</v>
      </c>
      <c r="Q277" s="133" t="s">
        <v>1366</v>
      </c>
      <c r="R277" s="325" t="s">
        <v>3912</v>
      </c>
      <c r="AA277" s="325" t="s">
        <v>3781</v>
      </c>
      <c r="AB277" s="185" t="s">
        <v>3137</v>
      </c>
    </row>
    <row r="278" spans="2:28">
      <c r="B278" s="182" t="str">
        <f t="shared" si="20"/>
        <v>Sliding frames</v>
      </c>
      <c r="M278" s="175" t="s">
        <v>7</v>
      </c>
      <c r="N278" s="133" t="s">
        <v>343</v>
      </c>
      <c r="O278" s="133" t="s">
        <v>506</v>
      </c>
      <c r="P278" s="133" t="s">
        <v>507</v>
      </c>
      <c r="Q278" s="133" t="s">
        <v>913</v>
      </c>
      <c r="R278" s="325" t="s">
        <v>3906</v>
      </c>
      <c r="AA278" s="325" t="s">
        <v>3782</v>
      </c>
      <c r="AB278" s="185" t="s">
        <v>2599</v>
      </c>
    </row>
    <row r="279" spans="2:28">
      <c r="B279" s="182" t="str">
        <f t="shared" si="20"/>
        <v>LACOBEL and Matelac colors</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Type of arm</v>
      </c>
      <c r="M284" s="201" t="s">
        <v>361</v>
      </c>
      <c r="N284" s="201" t="s">
        <v>364</v>
      </c>
      <c r="O284" s="133" t="s">
        <v>365</v>
      </c>
      <c r="P284" s="133" t="s">
        <v>366</v>
      </c>
      <c r="Q284" s="133" t="s">
        <v>1493</v>
      </c>
      <c r="R284" s="325" t="s">
        <v>3914</v>
      </c>
      <c r="AA284" s="209" t="s">
        <v>4470</v>
      </c>
      <c r="AB284" s="209" t="s">
        <v>4488</v>
      </c>
    </row>
    <row r="285" spans="2:28">
      <c r="B285" s="182" t="str">
        <f t="shared" si="20"/>
        <v>Handle weight (g)</v>
      </c>
      <c r="M285" s="201" t="s">
        <v>362</v>
      </c>
      <c r="N285" s="201" t="s">
        <v>367</v>
      </c>
      <c r="O285" s="133" t="s">
        <v>368</v>
      </c>
      <c r="P285" s="133" t="s">
        <v>369</v>
      </c>
      <c r="Q285" s="133" t="s">
        <v>915</v>
      </c>
      <c r="R285" s="325" t="s">
        <v>3915</v>
      </c>
      <c r="AA285" s="179" t="s">
        <v>4493</v>
      </c>
      <c r="AB285" s="178" t="s">
        <v>4498</v>
      </c>
    </row>
    <row r="286" spans="2:28">
      <c r="B286" s="182" t="str">
        <f t="shared" si="20"/>
        <v>Types of profile</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bottom</v>
      </c>
      <c r="M293" s="175" t="s">
        <v>414</v>
      </c>
      <c r="N293" s="133" t="s">
        <v>426</v>
      </c>
      <c r="O293" s="133" t="s">
        <v>427</v>
      </c>
      <c r="P293" s="133" t="s">
        <v>428</v>
      </c>
      <c r="Q293" s="133" t="s">
        <v>1367</v>
      </c>
      <c r="R293" s="325" t="s">
        <v>3917</v>
      </c>
      <c r="AA293" s="178" t="s">
        <v>4466</v>
      </c>
      <c r="AB293" s="178" t="s">
        <v>4487</v>
      </c>
    </row>
    <row r="294" spans="2:28">
      <c r="B294" s="182" t="str">
        <f t="shared" si="20"/>
        <v>Minimum distance of hinge</v>
      </c>
      <c r="M294" s="201" t="s">
        <v>430</v>
      </c>
      <c r="N294" s="133" t="s">
        <v>473</v>
      </c>
      <c r="O294" s="133" t="s">
        <v>483</v>
      </c>
      <c r="P294" s="133" t="s">
        <v>484</v>
      </c>
      <c r="Q294" s="133" t="s">
        <v>1495</v>
      </c>
      <c r="R294" s="325" t="s">
        <v>3918</v>
      </c>
      <c r="AA294" s="209" t="s">
        <v>4472</v>
      </c>
      <c r="AB294" s="209" t="s">
        <v>4488</v>
      </c>
    </row>
    <row r="295" spans="2:28">
      <c r="B295" s="182" t="str">
        <f t="shared" si="20"/>
        <v>Overlay with integrated Bluemotion</v>
      </c>
      <c r="M295" s="175" t="s">
        <v>431</v>
      </c>
      <c r="N295" s="133" t="s">
        <v>474</v>
      </c>
      <c r="O295" s="133" t="s">
        <v>1308</v>
      </c>
      <c r="P295" s="133" t="s">
        <v>485</v>
      </c>
      <c r="Q295" s="133" t="s">
        <v>1496</v>
      </c>
      <c r="R295" s="325" t="s">
        <v>3919</v>
      </c>
      <c r="AA295" s="178" t="s">
        <v>4499</v>
      </c>
      <c r="AB295" s="178" t="s">
        <v>4498</v>
      </c>
    </row>
    <row r="296" spans="2:28">
      <c r="B296" s="182" t="str">
        <f t="shared" si="20"/>
        <v>The standard drilling of hinge holes for all types of Aventos HF fittings, is 100 mm from the edge.</v>
      </c>
      <c r="M296" s="199" t="s">
        <v>466</v>
      </c>
      <c r="N296" s="133" t="s">
        <v>475</v>
      </c>
      <c r="O296" s="133" t="s">
        <v>879</v>
      </c>
      <c r="P296" s="133" t="s">
        <v>1261</v>
      </c>
      <c r="Q296" s="133" t="s">
        <v>1368</v>
      </c>
      <c r="R296" s="325" t="s">
        <v>3920</v>
      </c>
      <c r="AA296" s="178" t="s">
        <v>4476</v>
      </c>
      <c r="AB296" s="178" t="s">
        <v>4489</v>
      </c>
    </row>
    <row r="297" spans="2:28">
      <c r="B297" s="182" t="str">
        <f t="shared" si="20"/>
        <v>The standard diameter of the mounting holes is 7 mm in the glass and 5 mm in the frame (distance pads are included).</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If your request is different from the one above, please note it.</v>
      </c>
      <c r="M298" s="175" t="s">
        <v>436</v>
      </c>
      <c r="N298" s="133" t="s">
        <v>477</v>
      </c>
      <c r="O298" s="133" t="s">
        <v>488</v>
      </c>
      <c r="P298" s="133" t="s">
        <v>489</v>
      </c>
      <c r="Q298" s="133" t="s">
        <v>1370</v>
      </c>
      <c r="R298" s="325" t="s">
        <v>3922</v>
      </c>
      <c r="AA298" s="178" t="s">
        <v>4467</v>
      </c>
      <c r="AB298" s="178" t="s">
        <v>4487</v>
      </c>
    </row>
    <row r="299" spans="2:28">
      <c r="B299" s="182" t="str">
        <f t="shared" si="21"/>
        <v>Some types of handles threads for the bolts are embedded and suitable spacer pads must be used.</v>
      </c>
      <c r="M299" s="175" t="s">
        <v>440</v>
      </c>
      <c r="N299" s="133" t="s">
        <v>478</v>
      </c>
      <c r="O299" s="133" t="s">
        <v>1309</v>
      </c>
      <c r="P299" s="133" t="s">
        <v>873</v>
      </c>
      <c r="Q299" s="133" t="s">
        <v>1497</v>
      </c>
      <c r="R299" s="325" t="s">
        <v>3923</v>
      </c>
      <c r="AA299" s="178" t="s">
        <v>4473</v>
      </c>
      <c r="AB299" s="209" t="s">
        <v>4488</v>
      </c>
    </row>
    <row r="300" spans="2:28">
      <c r="B300" s="182" t="str">
        <f t="shared" si="21"/>
        <v>Claims for damage cannot be accepted if the frame has already been fitted.</v>
      </c>
      <c r="M300" s="175" t="s">
        <v>437</v>
      </c>
      <c r="N300" s="133" t="s">
        <v>479</v>
      </c>
      <c r="O300" s="133" t="s">
        <v>3566</v>
      </c>
      <c r="P300" s="133" t="s">
        <v>490</v>
      </c>
      <c r="Q300" s="133" t="s">
        <v>1498</v>
      </c>
      <c r="R300" s="325" t="s">
        <v>3924</v>
      </c>
      <c r="AA300" s="179" t="s">
        <v>4495</v>
      </c>
      <c r="AB300" s="178" t="s">
        <v>4498</v>
      </c>
    </row>
    <row r="301" spans="2:28">
      <c r="B301" s="182" t="str">
        <f t="shared" si="21"/>
        <v>To attach the fitting to the ALU frame, designated screws should be used (e.g. code 13681).</v>
      </c>
      <c r="M301" s="175" t="s">
        <v>438</v>
      </c>
      <c r="N301" s="133" t="s">
        <v>480</v>
      </c>
      <c r="O301" s="133" t="s">
        <v>880</v>
      </c>
      <c r="P301" s="133" t="s">
        <v>491</v>
      </c>
      <c r="Q301" s="133" t="s">
        <v>1499</v>
      </c>
      <c r="R301" s="325" t="s">
        <v>3925</v>
      </c>
      <c r="AA301" s="178" t="s">
        <v>4478</v>
      </c>
      <c r="AB301" s="178" t="s">
        <v>4489</v>
      </c>
    </row>
    <row r="302" spans="2:28">
      <c r="B302" s="182" t="str">
        <f t="shared" si="21"/>
        <v>Always use the current version of the form available on our web pages.</v>
      </c>
      <c r="M302" s="175" t="s">
        <v>2650</v>
      </c>
      <c r="N302" s="133" t="s">
        <v>481</v>
      </c>
      <c r="O302" s="133" t="s">
        <v>3561</v>
      </c>
      <c r="P302" s="133" t="s">
        <v>1262</v>
      </c>
      <c r="Q302" s="133" t="s">
        <v>1500</v>
      </c>
      <c r="R302" s="325" t="s">
        <v>3926</v>
      </c>
      <c r="AA302" s="178" t="s">
        <v>4484</v>
      </c>
      <c r="AB302" s="178" t="s">
        <v>4490</v>
      </c>
    </row>
    <row r="303" spans="2:28">
      <c r="B303" s="182" t="str">
        <f t="shared" si="21"/>
        <v>The gap between the dividers should be at least 100 mm.</v>
      </c>
      <c r="M303" s="175" t="s">
        <v>1203</v>
      </c>
      <c r="N303" s="133" t="s">
        <v>1205</v>
      </c>
      <c r="O303" s="133" t="s">
        <v>1310</v>
      </c>
      <c r="P303" s="133" t="s">
        <v>1204</v>
      </c>
      <c r="Q303" s="133" t="s">
        <v>1501</v>
      </c>
      <c r="R303" s="325" t="s">
        <v>3927</v>
      </c>
      <c r="AA303" s="209" t="s">
        <v>4468</v>
      </c>
      <c r="AB303" s="178" t="s">
        <v>4487</v>
      </c>
    </row>
    <row r="304" spans="2:28">
      <c r="B304" s="182" t="str">
        <f t="shared" si="21"/>
        <v>An order can also contain multiple types (sizes) of frames at the same time, therefore please make sure that some columns do not content data form previous order.</v>
      </c>
      <c r="M304" s="175" t="s">
        <v>439</v>
      </c>
      <c r="N304" s="133" t="s">
        <v>492</v>
      </c>
      <c r="O304" s="133" t="s">
        <v>881</v>
      </c>
      <c r="P304" s="133" t="s">
        <v>493</v>
      </c>
      <c r="Q304" s="133" t="s">
        <v>1502</v>
      </c>
      <c r="R304" s="325" t="s">
        <v>3928</v>
      </c>
      <c r="AA304" s="209" t="s">
        <v>4474</v>
      </c>
      <c r="AB304" s="209" t="s">
        <v>4488</v>
      </c>
    </row>
    <row r="305" spans="2:28">
      <c r="B305" s="182" t="str">
        <f t="shared" si="21"/>
        <v>The form contains several pages. You can switch between the pages with the buttons on the top.</v>
      </c>
      <c r="M305" s="175" t="s">
        <v>441</v>
      </c>
      <c r="N305" s="133" t="s">
        <v>494</v>
      </c>
      <c r="O305" s="133" t="s">
        <v>495</v>
      </c>
      <c r="P305" s="133" t="s">
        <v>496</v>
      </c>
      <c r="Q305" s="133" t="s">
        <v>1503</v>
      </c>
      <c r="R305" s="325" t="s">
        <v>3929</v>
      </c>
      <c r="AA305" s="209" t="s">
        <v>4496</v>
      </c>
      <c r="AB305" s="178" t="s">
        <v>4498</v>
      </c>
    </row>
    <row r="306" spans="2:28">
      <c r="B306" s="182" t="str">
        <f t="shared" si="21"/>
        <v>Please fill in your contact details and then click on the required box below.</v>
      </c>
      <c r="M306" s="175" t="s">
        <v>550</v>
      </c>
      <c r="N306" s="133" t="s">
        <v>497</v>
      </c>
      <c r="O306" s="133" t="s">
        <v>498</v>
      </c>
      <c r="P306" s="133" t="s">
        <v>499</v>
      </c>
      <c r="Q306" s="133" t="s">
        <v>1371</v>
      </c>
      <c r="R306" s="325" t="s">
        <v>3930</v>
      </c>
      <c r="AA306" s="209" t="s">
        <v>4479</v>
      </c>
      <c r="AB306" s="178" t="s">
        <v>4489</v>
      </c>
    </row>
    <row r="307" spans="2:28">
      <c r="B307" s="182" t="str">
        <f t="shared" si="21"/>
        <v>By filling in your contact details, you are simultaneously agreeing to have read the informattion below!</v>
      </c>
      <c r="M307" s="175" t="s">
        <v>464</v>
      </c>
      <c r="N307" s="133" t="s">
        <v>500</v>
      </c>
      <c r="O307" s="133" t="s">
        <v>501</v>
      </c>
      <c r="P307" s="133" t="s">
        <v>502</v>
      </c>
      <c r="Q307" s="133" t="s">
        <v>1504</v>
      </c>
      <c r="R307" s="325" t="s">
        <v>3931</v>
      </c>
      <c r="AA307" s="209" t="s">
        <v>4485</v>
      </c>
      <c r="AB307" s="178" t="s">
        <v>4490</v>
      </c>
    </row>
    <row r="308" spans="2:28">
      <c r="B308" s="182" t="str">
        <f t="shared" si="21"/>
        <v>Common frames</v>
      </c>
      <c r="M308" s="175" t="s">
        <v>442</v>
      </c>
      <c r="N308" s="133" t="s">
        <v>503</v>
      </c>
      <c r="O308" s="133" t="s">
        <v>504</v>
      </c>
      <c r="P308" s="133" t="s">
        <v>505</v>
      </c>
      <c r="Q308" s="133" t="s">
        <v>1406</v>
      </c>
      <c r="R308" s="325" t="s">
        <v>3932</v>
      </c>
      <c r="AA308" s="325" t="s">
        <v>4469</v>
      </c>
      <c r="AB308" s="178" t="s">
        <v>4487</v>
      </c>
    </row>
    <row r="309" spans="2:28">
      <c r="B309" s="182" t="str">
        <f t="shared" si="21"/>
        <v>Sliding frames</v>
      </c>
      <c r="M309" s="175" t="s">
        <v>7</v>
      </c>
      <c r="N309" s="133" t="s">
        <v>343</v>
      </c>
      <c r="O309" s="133" t="s">
        <v>506</v>
      </c>
      <c r="P309" s="133" t="s">
        <v>507</v>
      </c>
      <c r="Q309" s="133" t="s">
        <v>913</v>
      </c>
      <c r="R309" s="325" t="s">
        <v>3906</v>
      </c>
      <c r="AA309" s="325" t="s">
        <v>4491</v>
      </c>
      <c r="AB309" s="209" t="s">
        <v>4488</v>
      </c>
    </row>
    <row r="310" spans="2:28">
      <c r="B310" s="182" t="str">
        <f t="shared" si="21"/>
        <v>Drawings of profiles and connection fittings</v>
      </c>
      <c r="M310" s="175" t="s">
        <v>443</v>
      </c>
      <c r="N310" s="133" t="s">
        <v>2554</v>
      </c>
      <c r="O310" s="133" t="s">
        <v>508</v>
      </c>
      <c r="P310" s="133" t="s">
        <v>509</v>
      </c>
      <c r="Q310" s="133" t="s">
        <v>1505</v>
      </c>
      <c r="R310" s="325" t="s">
        <v>3933</v>
      </c>
      <c r="AA310" s="325" t="s">
        <v>4497</v>
      </c>
      <c r="AB310" s="178" t="s">
        <v>4498</v>
      </c>
    </row>
    <row r="311" spans="2:28">
      <c r="B311" s="182" t="str">
        <f t="shared" si="21"/>
        <v>The maximum recommended frame size is 2500 x 1250 mm (1500 x 600 mm in the case of glued glass frames, e.g. Corleone)</v>
      </c>
      <c r="M311" s="175" t="s">
        <v>3140</v>
      </c>
      <c r="N311" s="133" t="s">
        <v>3141</v>
      </c>
      <c r="O311" s="133" t="s">
        <v>3142</v>
      </c>
      <c r="P311" s="133" t="s">
        <v>3143</v>
      </c>
      <c r="Q311" s="133" t="s">
        <v>3144</v>
      </c>
      <c r="R311" s="325" t="s">
        <v>3934</v>
      </c>
      <c r="AA311" s="325" t="s">
        <v>4480</v>
      </c>
      <c r="AB311" s="178" t="s">
        <v>4489</v>
      </c>
    </row>
    <row r="312" spans="2:28">
      <c r="B312" s="182" t="str">
        <f t="shared" si="21"/>
        <v>At the customer's request, frames with a maximum profile length of 3m can be supplied. The maximum glass dimension in this case is 2500 x 1300 mm.</v>
      </c>
      <c r="M312" s="175" t="s">
        <v>551</v>
      </c>
      <c r="N312" s="133" t="s">
        <v>510</v>
      </c>
      <c r="O312" s="133" t="s">
        <v>1311</v>
      </c>
      <c r="P312" s="133" t="s">
        <v>511</v>
      </c>
      <c r="Q312" s="133" t="s">
        <v>1372</v>
      </c>
      <c r="R312" s="325" t="s">
        <v>3935</v>
      </c>
      <c r="AA312" s="325" t="s">
        <v>4486</v>
      </c>
      <c r="AB312" s="178" t="s">
        <v>4490</v>
      </c>
    </row>
    <row r="313" spans="2:28">
      <c r="B313" s="182" t="str">
        <f t="shared" si="21"/>
        <v>All Lacobel and Matelac glasses can be floored with safety foil (add to note if necessary)</v>
      </c>
      <c r="M313" s="175" t="s">
        <v>444</v>
      </c>
      <c r="N313" s="133" t="s">
        <v>512</v>
      </c>
      <c r="O313" s="133" t="s">
        <v>1312</v>
      </c>
      <c r="P313" s="133" t="s">
        <v>1263</v>
      </c>
      <c r="Q313" s="133" t="s">
        <v>1373</v>
      </c>
      <c r="R313" s="325" t="s">
        <v>3936</v>
      </c>
    </row>
    <row r="314" spans="2:28">
      <c r="B314" s="182" t="str">
        <f t="shared" si="21"/>
        <v>Send your filled order to</v>
      </c>
      <c r="M314" s="175" t="s">
        <v>445</v>
      </c>
      <c r="N314" s="133" t="s">
        <v>513</v>
      </c>
      <c r="O314" s="133" t="s">
        <v>3565</v>
      </c>
      <c r="P314" s="133" t="s">
        <v>514</v>
      </c>
      <c r="Q314" s="133" t="s">
        <v>1374</v>
      </c>
      <c r="R314" s="325" t="s">
        <v>3937</v>
      </c>
    </row>
    <row r="315" spans="2:28">
      <c r="B315" s="182" t="str">
        <f t="shared" si="21"/>
        <v>ordering@demos-trade.com</v>
      </c>
      <c r="M315" s="202" t="s">
        <v>448</v>
      </c>
      <c r="N315" s="133" t="s">
        <v>3194</v>
      </c>
      <c r="O315" s="133" t="s">
        <v>446</v>
      </c>
      <c r="P315" s="133" t="s">
        <v>447</v>
      </c>
      <c r="Q315" s="133" t="s">
        <v>1375</v>
      </c>
      <c r="R315" s="133" t="s">
        <v>917</v>
      </c>
    </row>
    <row r="316" spans="2:28">
      <c r="B316" s="182" t="str">
        <f t="shared" si="21"/>
        <v>Profile drawings</v>
      </c>
      <c r="M316" s="175" t="s">
        <v>449</v>
      </c>
      <c r="N316" s="133" t="s">
        <v>515</v>
      </c>
      <c r="O316" s="133" t="s">
        <v>516</v>
      </c>
      <c r="P316" s="133" t="s">
        <v>517</v>
      </c>
      <c r="Q316" s="133" t="s">
        <v>918</v>
      </c>
      <c r="R316" s="325" t="s">
        <v>3938</v>
      </c>
    </row>
    <row r="317" spans="2:28">
      <c r="B317" s="182" t="str">
        <f t="shared" si="21"/>
        <v>H27AL narrow frame fitting set (88630)</v>
      </c>
      <c r="M317" s="175" t="s">
        <v>450</v>
      </c>
      <c r="N317" s="133" t="s">
        <v>518</v>
      </c>
      <c r="O317" s="133" t="s">
        <v>519</v>
      </c>
      <c r="P317" s="133" t="s">
        <v>520</v>
      </c>
      <c r="Q317" s="133" t="s">
        <v>1376</v>
      </c>
      <c r="R317" s="325" t="s">
        <v>3939</v>
      </c>
    </row>
    <row r="318" spans="2:28">
      <c r="B318" s="182" t="str">
        <f t="shared" si="21"/>
        <v>H37AL wide frame fitting set (88631)</v>
      </c>
      <c r="M318" s="175" t="s">
        <v>451</v>
      </c>
      <c r="N318" s="133" t="s">
        <v>521</v>
      </c>
      <c r="O318" s="133" t="s">
        <v>522</v>
      </c>
      <c r="P318" s="133" t="s">
        <v>523</v>
      </c>
      <c r="Q318" s="133" t="s">
        <v>1377</v>
      </c>
      <c r="R318" s="325" t="s">
        <v>3940</v>
      </c>
      <c r="AA318" s="181"/>
      <c r="AB318" s="185"/>
    </row>
    <row r="319" spans="2:28">
      <c r="B319" s="182" t="str">
        <f t="shared" si="21"/>
        <v>The height of the frame = internal height of the corpus - 6 mm.</v>
      </c>
      <c r="M319" s="175" t="s">
        <v>3547</v>
      </c>
      <c r="N319" s="133" t="s">
        <v>3549</v>
      </c>
      <c r="O319" s="133" t="s">
        <v>3548</v>
      </c>
      <c r="P319" s="133" t="s">
        <v>3550</v>
      </c>
      <c r="Q319" s="133" t="s">
        <v>3551</v>
      </c>
      <c r="R319" s="325" t="s">
        <v>3941</v>
      </c>
      <c r="AA319" s="181"/>
      <c r="AB319" s="185"/>
    </row>
    <row r="320" spans="2:28">
      <c r="B320" s="182" t="str">
        <f t="shared" si="21"/>
        <v>By default, the frames are ready for the sliding fittings H27AL (25 kg load-capacity per frame) and H37AL (35 kg load-capacity per frame).</v>
      </c>
      <c r="M320" s="175" t="s">
        <v>1227</v>
      </c>
      <c r="N320" s="133" t="s">
        <v>1228</v>
      </c>
      <c r="O320" s="133" t="s">
        <v>1297</v>
      </c>
      <c r="P320" s="133" t="s">
        <v>1296</v>
      </c>
      <c r="Q320" s="133" t="s">
        <v>1378</v>
      </c>
      <c r="R320" s="325" t="s">
        <v>3942</v>
      </c>
      <c r="AA320" s="181"/>
      <c r="AB320" s="185"/>
    </row>
    <row r="321" spans="2:28">
      <c r="B321" s="182" t="str">
        <f t="shared" si="21"/>
        <v>Top guide profile length 2 m (87313)</v>
      </c>
      <c r="M321" s="175" t="s">
        <v>452</v>
      </c>
      <c r="N321" s="133" t="s">
        <v>524</v>
      </c>
      <c r="O321" s="133" t="s">
        <v>525</v>
      </c>
      <c r="P321" s="133" t="s">
        <v>526</v>
      </c>
      <c r="Q321" s="133" t="s">
        <v>1506</v>
      </c>
      <c r="R321" s="325" t="s">
        <v>3943</v>
      </c>
      <c r="AA321" s="181"/>
      <c r="AB321" s="185"/>
    </row>
    <row r="322" spans="2:28">
      <c r="B322" s="182" t="str">
        <f t="shared" si="21"/>
        <v>Bottom guide profile, length 2 m (87315)</v>
      </c>
      <c r="M322" s="175" t="s">
        <v>3195</v>
      </c>
      <c r="N322" s="133" t="s">
        <v>527</v>
      </c>
      <c r="O322" s="133" t="s">
        <v>528</v>
      </c>
      <c r="P322" s="133" t="s">
        <v>529</v>
      </c>
      <c r="Q322" s="133" t="s">
        <v>1507</v>
      </c>
      <c r="R322" s="325" t="s">
        <v>3944</v>
      </c>
      <c r="AA322" s="181"/>
      <c r="AB322" s="185"/>
    </row>
    <row r="323" spans="2:28">
      <c r="B323" s="182" t="str">
        <f t="shared" si="21"/>
        <v>Top guide profile length 3 m (87312)</v>
      </c>
      <c r="M323" s="175" t="s">
        <v>453</v>
      </c>
      <c r="N323" s="133" t="s">
        <v>530</v>
      </c>
      <c r="O323" s="133" t="s">
        <v>531</v>
      </c>
      <c r="P323" s="133" t="s">
        <v>532</v>
      </c>
      <c r="Q323" s="133" t="s">
        <v>1508</v>
      </c>
      <c r="R323" s="325" t="s">
        <v>3945</v>
      </c>
      <c r="AA323" s="181"/>
      <c r="AB323" s="185"/>
    </row>
    <row r="324" spans="2:28" ht="15.75" thickBot="1">
      <c r="B324" s="182" t="str">
        <f t="shared" si="21"/>
        <v>Bottom guide profile, length 3 m (87314)</v>
      </c>
      <c r="M324" s="175" t="s">
        <v>3196</v>
      </c>
      <c r="N324" s="133" t="s">
        <v>533</v>
      </c>
      <c r="O324" s="133" t="s">
        <v>534</v>
      </c>
      <c r="P324" s="133" t="s">
        <v>535</v>
      </c>
      <c r="Q324" s="133" t="s">
        <v>1509</v>
      </c>
      <c r="R324" s="325" t="s">
        <v>3946</v>
      </c>
      <c r="AA324" s="191"/>
      <c r="AB324" s="192"/>
    </row>
    <row r="325" spans="2:28">
      <c r="B325" s="182" t="str">
        <f t="shared" si="21"/>
        <v>Other Request (pieces)</v>
      </c>
      <c r="M325" s="175" t="s">
        <v>460</v>
      </c>
      <c r="N325" s="133" t="s">
        <v>536</v>
      </c>
      <c r="O325" s="133" t="s">
        <v>537</v>
      </c>
      <c r="P325" s="133" t="s">
        <v>538</v>
      </c>
      <c r="Q325" s="133" t="s">
        <v>1510</v>
      </c>
      <c r="R325" s="325" t="s">
        <v>3947</v>
      </c>
      <c r="AA325" s="181"/>
      <c r="AB325" s="185"/>
    </row>
    <row r="326" spans="2:28" ht="15.75" thickBot="1">
      <c r="B326" s="182" t="str">
        <f t="shared" si="21"/>
        <v>Quantity (pieces)</v>
      </c>
      <c r="M326" s="175" t="s">
        <v>463</v>
      </c>
      <c r="N326" s="133" t="s">
        <v>539</v>
      </c>
      <c r="O326" s="133" t="s">
        <v>540</v>
      </c>
      <c r="P326" s="133" t="s">
        <v>541</v>
      </c>
      <c r="Q326" s="133" t="s">
        <v>1511</v>
      </c>
      <c r="R326" s="325" t="s">
        <v>3948</v>
      </c>
      <c r="AA326" s="191"/>
      <c r="AB326" s="192"/>
    </row>
    <row r="327" spans="2:28" ht="15.75" thickBot="1">
      <c r="B327" s="182" t="str">
        <f t="shared" si="21"/>
        <v>For oversize frames (over 1200 x 800 mm), extra special packaging and transport may be charged (more informattion at the customer centre).</v>
      </c>
      <c r="M327" s="175" t="s">
        <v>2643</v>
      </c>
      <c r="N327" s="133" t="s">
        <v>542</v>
      </c>
      <c r="O327" s="133" t="s">
        <v>3574</v>
      </c>
      <c r="P327" s="133" t="s">
        <v>1264</v>
      </c>
      <c r="Q327" s="133" t="s">
        <v>1512</v>
      </c>
      <c r="R327" s="325" t="s">
        <v>3949</v>
      </c>
      <c r="AA327" s="191"/>
      <c r="AB327" s="192"/>
    </row>
    <row r="328" spans="2:28">
      <c r="B328" s="182" t="str">
        <f t="shared" si="21"/>
        <v>The appropriate frame sizes for a particular type of fitting must be verified before entering into the order (Aventplan, catalog, …), the form has no restrictions set.</v>
      </c>
      <c r="M328" s="175" t="s">
        <v>465</v>
      </c>
      <c r="N328" s="133" t="s">
        <v>543</v>
      </c>
      <c r="O328" s="133" t="s">
        <v>1313</v>
      </c>
      <c r="P328" s="133" t="s">
        <v>544</v>
      </c>
      <c r="Q328" s="133" t="s">
        <v>1379</v>
      </c>
      <c r="R328" s="325" t="s">
        <v>3950</v>
      </c>
      <c r="AA328" s="187"/>
      <c r="AB328" s="186"/>
    </row>
    <row r="329" spans="2:28">
      <c r="B329" s="182" t="str">
        <f t="shared" si="21"/>
        <v>The glass sample can be ordered under the codes Lacebel VZK003P and Matelac VZK004P.</v>
      </c>
      <c r="M329" s="175" t="s">
        <v>467</v>
      </c>
      <c r="N329" s="133" t="s">
        <v>546</v>
      </c>
      <c r="O329" s="133" t="s">
        <v>545</v>
      </c>
      <c r="P329" s="133" t="s">
        <v>1265</v>
      </c>
      <c r="Q329" s="133" t="s">
        <v>1380</v>
      </c>
      <c r="R329" s="325" t="s">
        <v>3951</v>
      </c>
      <c r="AA329" s="190"/>
      <c r="AB329" s="185"/>
    </row>
    <row r="330" spans="2:28">
      <c r="B330" s="182" t="str">
        <f t="shared" si="21"/>
        <v>The price for sliding frames is the same as the price for regular frames.</v>
      </c>
      <c r="M330" s="175" t="s">
        <v>1229</v>
      </c>
      <c r="N330" s="133" t="s">
        <v>552</v>
      </c>
      <c r="O330" s="133" t="s">
        <v>1298</v>
      </c>
      <c r="P330" s="133" t="s">
        <v>1299</v>
      </c>
      <c r="Q330" s="133" t="s">
        <v>1381</v>
      </c>
      <c r="R330" s="325" t="s">
        <v>3952</v>
      </c>
      <c r="AA330" s="190"/>
      <c r="AB330" s="185"/>
    </row>
    <row r="331" spans="2:28">
      <c r="B331" s="182" t="str">
        <f t="shared" si="21"/>
        <v>If the Handle is fixed through glass, a distance washer must always be used (e.g. 144516, 191970, C0315)</v>
      </c>
      <c r="M331" s="175" t="s">
        <v>882</v>
      </c>
      <c r="N331" s="133" t="s">
        <v>883</v>
      </c>
      <c r="O331" s="133" t="s">
        <v>884</v>
      </c>
      <c r="P331" s="133" t="s">
        <v>885</v>
      </c>
      <c r="Q331" s="133" t="s">
        <v>1410</v>
      </c>
      <c r="R331" s="325" t="s">
        <v>3953</v>
      </c>
      <c r="AA331" s="190"/>
      <c r="AB331" s="185"/>
    </row>
    <row r="332" spans="2:28">
      <c r="B332" s="182" t="str">
        <f t="shared" si="21"/>
        <v>The above door drawings are shown when viewed from the front.</v>
      </c>
      <c r="M332" s="175" t="s">
        <v>559</v>
      </c>
      <c r="N332" s="133" t="s">
        <v>793</v>
      </c>
      <c r="O332" s="133" t="s">
        <v>1314</v>
      </c>
      <c r="P332" s="133" t="s">
        <v>1266</v>
      </c>
      <c r="Q332" s="133" t="s">
        <v>1382</v>
      </c>
      <c r="R332" s="325" t="s">
        <v>3954</v>
      </c>
      <c r="AA332" s="190"/>
      <c r="AB332" s="185"/>
    </row>
    <row r="333" spans="2:28">
      <c r="B333" s="182" t="str">
        <f t="shared" si="21"/>
        <v>Oversized box, higher traffic may be charged</v>
      </c>
      <c r="M333" s="175" t="s">
        <v>560</v>
      </c>
      <c r="N333" s="133" t="s">
        <v>561</v>
      </c>
      <c r="O333" s="133" t="s">
        <v>562</v>
      </c>
      <c r="P333" s="133" t="s">
        <v>563</v>
      </c>
      <c r="Q333" s="133" t="s">
        <v>1383</v>
      </c>
      <c r="R333" s="325" t="s">
        <v>3955</v>
      </c>
      <c r="AA333" s="190"/>
      <c r="AB333" s="185"/>
    </row>
    <row r="334" spans="2:28">
      <c r="B334" s="182" t="str">
        <f t="shared" si="21"/>
        <v>Arm position</v>
      </c>
      <c r="M334" s="175" t="s">
        <v>581</v>
      </c>
      <c r="N334" s="133" t="s">
        <v>794</v>
      </c>
      <c r="O334" s="133" t="s">
        <v>1315</v>
      </c>
      <c r="P334" s="133" t="s">
        <v>795</v>
      </c>
      <c r="Q334" s="133" t="s">
        <v>1384</v>
      </c>
      <c r="R334" s="325" t="s">
        <v>3956</v>
      </c>
      <c r="AA334" s="190"/>
      <c r="AB334" s="185"/>
    </row>
    <row r="335" spans="2:28" ht="15.75" thickBot="1">
      <c r="B335" s="182" t="str">
        <f t="shared" si="21"/>
        <v>Maximum possible frame size is 2500x1300mm</v>
      </c>
      <c r="M335" s="175" t="s">
        <v>648</v>
      </c>
      <c r="N335" s="133" t="s">
        <v>652</v>
      </c>
      <c r="O335" s="133" t="s">
        <v>653</v>
      </c>
      <c r="P335" s="133" t="s">
        <v>654</v>
      </c>
      <c r="Q335" s="133" t="s">
        <v>1513</v>
      </c>
      <c r="R335" s="325" t="s">
        <v>3957</v>
      </c>
      <c r="AA335" s="193"/>
      <c r="AB335" s="192"/>
    </row>
    <row r="336" spans="2:28">
      <c r="B336" s="182" t="str">
        <f t="shared" si="21"/>
        <v>The minimum hinge distance from the edge of the frame is 70mm</v>
      </c>
      <c r="M336" s="175" t="s">
        <v>649</v>
      </c>
      <c r="N336" s="133" t="s">
        <v>655</v>
      </c>
      <c r="O336" s="133" t="s">
        <v>656</v>
      </c>
      <c r="P336" s="133" t="s">
        <v>657</v>
      </c>
      <c r="Q336" s="133" t="s">
        <v>1385</v>
      </c>
      <c r="R336" s="325" t="s">
        <v>3958</v>
      </c>
      <c r="AA336" s="190"/>
      <c r="AB336" s="185"/>
    </row>
    <row r="337" spans="2:28" ht="15.75" thickBot="1">
      <c r="B337" s="182" t="str">
        <f t="shared" si="21"/>
        <v>The minimum hinge distance from the edge of the frame is 80mm</v>
      </c>
      <c r="M337" s="175" t="s">
        <v>650</v>
      </c>
      <c r="N337" s="133" t="s">
        <v>658</v>
      </c>
      <c r="O337" s="133" t="s">
        <v>659</v>
      </c>
      <c r="P337" s="133" t="s">
        <v>660</v>
      </c>
      <c r="Q337" s="133" t="s">
        <v>1386</v>
      </c>
      <c r="R337" s="325" t="s">
        <v>3959</v>
      </c>
      <c r="AA337" s="193"/>
      <c r="AB337" s="192"/>
    </row>
    <row r="338" spans="2:28" ht="15.75" thickBot="1">
      <c r="B338" s="182" t="str">
        <f t="shared" si="21"/>
        <v>Overlay clip hinge</v>
      </c>
      <c r="M338" s="175" t="s">
        <v>64</v>
      </c>
      <c r="N338" s="133" t="s">
        <v>64</v>
      </c>
      <c r="O338" s="133" t="s">
        <v>216</v>
      </c>
      <c r="P338" s="133" t="s">
        <v>282</v>
      </c>
      <c r="Q338" s="133" t="s">
        <v>1448</v>
      </c>
      <c r="R338" s="325" t="s">
        <v>3839</v>
      </c>
      <c r="AA338" s="193"/>
      <c r="AB338" s="192"/>
    </row>
    <row r="339" spans="2:28">
      <c r="B339" s="182" t="str">
        <f t="shared" si="21"/>
        <v>Half-overlay clip hinge</v>
      </c>
      <c r="M339" s="175" t="s">
        <v>65</v>
      </c>
      <c r="N339" s="133" t="s">
        <v>65</v>
      </c>
      <c r="O339" s="133" t="s">
        <v>217</v>
      </c>
      <c r="P339" s="133" t="s">
        <v>1242</v>
      </c>
      <c r="Q339" s="133" t="s">
        <v>1449</v>
      </c>
      <c r="R339" s="325" t="s">
        <v>3840</v>
      </c>
      <c r="AB339" s="186"/>
    </row>
    <row r="340" spans="2:28">
      <c r="B340" s="182" t="str">
        <f t="shared" si="21"/>
        <v>Inset clip hinge</v>
      </c>
      <c r="M340" s="175" t="s">
        <v>66</v>
      </c>
      <c r="N340" s="133" t="s">
        <v>66</v>
      </c>
      <c r="O340" s="133" t="s">
        <v>218</v>
      </c>
      <c r="P340" s="133" t="s">
        <v>1243</v>
      </c>
      <c r="Q340" s="133" t="s">
        <v>1450</v>
      </c>
      <c r="R340" s="325" t="s">
        <v>3960</v>
      </c>
      <c r="AB340" s="185"/>
    </row>
    <row r="341" spans="2:28">
      <c r="B341" s="182" t="str">
        <f t="shared" si="21"/>
        <v>45°angle</v>
      </c>
      <c r="M341" s="175" t="s">
        <v>67</v>
      </c>
      <c r="N341" s="133" t="s">
        <v>160</v>
      </c>
      <c r="O341" s="133" t="s">
        <v>219</v>
      </c>
      <c r="P341" s="133" t="s">
        <v>283</v>
      </c>
      <c r="Q341" s="133" t="s">
        <v>1350</v>
      </c>
      <c r="R341" s="325" t="s">
        <v>3842</v>
      </c>
      <c r="AB341" s="185"/>
    </row>
    <row r="342" spans="2:28">
      <c r="B342" s="182" t="str">
        <f t="shared" si="21"/>
        <v xml:space="preserve">Overlay </v>
      </c>
      <c r="M342" s="175" t="s">
        <v>68</v>
      </c>
      <c r="N342" s="133" t="s">
        <v>161</v>
      </c>
      <c r="O342" s="133" t="s">
        <v>220</v>
      </c>
      <c r="P342" s="133" t="s">
        <v>284</v>
      </c>
      <c r="Q342" s="133" t="s">
        <v>1451</v>
      </c>
      <c r="R342" s="325" t="s">
        <v>3843</v>
      </c>
      <c r="AB342" s="185"/>
    </row>
    <row r="343" spans="2:28">
      <c r="B343" s="182" t="str">
        <f t="shared" si="21"/>
        <v>Half-overlay</v>
      </c>
      <c r="M343" s="175" t="s">
        <v>69</v>
      </c>
      <c r="N343" s="133" t="s">
        <v>162</v>
      </c>
      <c r="O343" s="133" t="s">
        <v>221</v>
      </c>
      <c r="P343" s="133" t="s">
        <v>1244</v>
      </c>
      <c r="Q343" s="133" t="s">
        <v>1452</v>
      </c>
      <c r="R343" s="325" t="s">
        <v>3844</v>
      </c>
      <c r="AB343" s="185"/>
    </row>
    <row r="344" spans="2:28">
      <c r="B344" s="182" t="str">
        <f t="shared" si="21"/>
        <v>Inset</v>
      </c>
      <c r="M344" s="175" t="s">
        <v>70</v>
      </c>
      <c r="N344" s="133" t="s">
        <v>163</v>
      </c>
      <c r="O344" s="133" t="s">
        <v>222</v>
      </c>
      <c r="P344" s="133" t="s">
        <v>1245</v>
      </c>
      <c r="Q344" s="133" t="s">
        <v>905</v>
      </c>
      <c r="R344" s="325" t="s">
        <v>3845</v>
      </c>
      <c r="AB344" s="185"/>
    </row>
    <row r="345" spans="2:28">
      <c r="B345" s="182" t="str">
        <f t="shared" si="21"/>
        <v>45°angle</v>
      </c>
      <c r="M345" s="175" t="s">
        <v>67</v>
      </c>
      <c r="N345" s="133" t="s">
        <v>160</v>
      </c>
      <c r="O345" s="133" t="s">
        <v>219</v>
      </c>
      <c r="P345" s="133" t="s">
        <v>283</v>
      </c>
      <c r="Q345" s="133" t="s">
        <v>1350</v>
      </c>
      <c r="R345" s="325" t="s">
        <v>3842</v>
      </c>
      <c r="AB345" s="185"/>
    </row>
    <row r="346" spans="2:28" ht="15.75" thickBot="1">
      <c r="B346" s="182" t="str">
        <f t="shared" si="21"/>
        <v>Overlay with reversed spring function</v>
      </c>
      <c r="M346" s="175" t="s">
        <v>71</v>
      </c>
      <c r="N346" s="133" t="s">
        <v>71</v>
      </c>
      <c r="O346" s="133" t="s">
        <v>223</v>
      </c>
      <c r="P346" s="133" t="s">
        <v>287</v>
      </c>
      <c r="Q346" s="133" t="s">
        <v>1453</v>
      </c>
      <c r="R346" s="325" t="s">
        <v>3846</v>
      </c>
      <c r="AB346" s="192"/>
    </row>
    <row r="347" spans="2:28">
      <c r="B347" s="182" t="str">
        <f t="shared" si="21"/>
        <v>Inset with reversed spring function</v>
      </c>
      <c r="M347" s="175" t="s">
        <v>72</v>
      </c>
      <c r="N347" s="133" t="s">
        <v>72</v>
      </c>
      <c r="O347" s="133" t="s">
        <v>224</v>
      </c>
      <c r="P347" s="133" t="s">
        <v>1246</v>
      </c>
      <c r="Q347" s="133" t="s">
        <v>1454</v>
      </c>
      <c r="R347" s="325" t="s">
        <v>3847</v>
      </c>
      <c r="AB347" s="185"/>
    </row>
    <row r="348" spans="2:28" ht="15.75" thickBot="1">
      <c r="B348" s="182" t="str">
        <f t="shared" si="21"/>
        <v>Clip on plate H2 for screws fixing</v>
      </c>
      <c r="M348" s="175" t="s">
        <v>87</v>
      </c>
      <c r="N348" s="133" t="s">
        <v>164</v>
      </c>
      <c r="O348" s="133" t="s">
        <v>225</v>
      </c>
      <c r="P348" s="133" t="s">
        <v>288</v>
      </c>
      <c r="Q348" s="133" t="s">
        <v>1455</v>
      </c>
      <c r="R348" s="325" t="s">
        <v>3848</v>
      </c>
      <c r="AB348" s="192"/>
    </row>
    <row r="349" spans="2:28" ht="15.75" thickBot="1">
      <c r="B349" s="182" t="str">
        <f t="shared" si="21"/>
        <v>Clip on plate H4 for screws fixing</v>
      </c>
      <c r="M349" s="175" t="s">
        <v>88</v>
      </c>
      <c r="N349" s="133" t="s">
        <v>165</v>
      </c>
      <c r="O349" s="133" t="s">
        <v>226</v>
      </c>
      <c r="P349" s="133" t="s">
        <v>289</v>
      </c>
      <c r="Q349" s="133" t="s">
        <v>1456</v>
      </c>
      <c r="R349" s="325" t="s">
        <v>3849</v>
      </c>
      <c r="AB349" s="192"/>
    </row>
    <row r="350" spans="2:28">
      <c r="B350" s="182" t="str">
        <f t="shared" si="21"/>
        <v>Clip on plate H2 for Euro-screws fixing</v>
      </c>
      <c r="M350" s="175" t="s">
        <v>89</v>
      </c>
      <c r="N350" s="133" t="s">
        <v>166</v>
      </c>
      <c r="O350" s="133" t="s">
        <v>227</v>
      </c>
      <c r="P350" s="133" t="s">
        <v>290</v>
      </c>
      <c r="Q350" s="133" t="s">
        <v>1457</v>
      </c>
      <c r="R350" s="325" t="s">
        <v>4215</v>
      </c>
    </row>
    <row r="351" spans="2:28">
      <c r="B351" s="182" t="str">
        <f t="shared" si="21"/>
        <v>Clip on plate H4 for Euro-screws fixing</v>
      </c>
      <c r="M351" s="175" t="s">
        <v>90</v>
      </c>
      <c r="N351" s="133" t="s">
        <v>167</v>
      </c>
      <c r="O351" s="133" t="s">
        <v>228</v>
      </c>
      <c r="P351" s="133" t="s">
        <v>291</v>
      </c>
      <c r="Q351" s="133" t="s">
        <v>1458</v>
      </c>
      <c r="R351" s="325" t="s">
        <v>3850</v>
      </c>
    </row>
    <row r="352" spans="2:28">
      <c r="B352" s="182" t="str">
        <f t="shared" si="21"/>
        <v>Slide on plate H2  for screw fixing</v>
      </c>
      <c r="M352" s="175" t="s">
        <v>91</v>
      </c>
      <c r="N352" s="133" t="s">
        <v>168</v>
      </c>
      <c r="O352" s="133" t="s">
        <v>229</v>
      </c>
      <c r="P352" s="133" t="s">
        <v>292</v>
      </c>
      <c r="Q352" s="133" t="s">
        <v>1459</v>
      </c>
      <c r="R352" s="325" t="s">
        <v>3851</v>
      </c>
    </row>
    <row r="353" spans="2:18">
      <c r="B353" s="182" t="str">
        <f t="shared" si="21"/>
        <v>Slide on plate H4  for screw fixing</v>
      </c>
      <c r="M353" s="175" t="s">
        <v>92</v>
      </c>
      <c r="N353" s="133" t="s">
        <v>169</v>
      </c>
      <c r="O353" s="133" t="s">
        <v>230</v>
      </c>
      <c r="P353" s="133" t="s">
        <v>293</v>
      </c>
      <c r="Q353" s="133" t="s">
        <v>1460</v>
      </c>
      <c r="R353" s="325" t="s">
        <v>3852</v>
      </c>
    </row>
    <row r="354" spans="2:18">
      <c r="B354" s="182" t="str">
        <f t="shared" si="21"/>
        <v>Slide on plate H2  for Euro-screw fixing</v>
      </c>
      <c r="M354" s="175" t="s">
        <v>93</v>
      </c>
      <c r="N354" s="133" t="s">
        <v>170</v>
      </c>
      <c r="O354" s="133" t="s">
        <v>231</v>
      </c>
      <c r="P354" s="133" t="s">
        <v>294</v>
      </c>
      <c r="Q354" s="133" t="s">
        <v>1461</v>
      </c>
      <c r="R354" s="325" t="s">
        <v>3853</v>
      </c>
    </row>
    <row r="355" spans="2:18">
      <c r="B355" s="182" t="str">
        <f t="shared" si="21"/>
        <v>Slide on plate H4  for Euro-screw fixing</v>
      </c>
      <c r="M355" s="175" t="s">
        <v>94</v>
      </c>
      <c r="N355" s="133" t="s">
        <v>171</v>
      </c>
      <c r="O355" s="133" t="s">
        <v>232</v>
      </c>
      <c r="P355" s="133" t="s">
        <v>295</v>
      </c>
      <c r="Q355" s="133" t="s">
        <v>1462</v>
      </c>
      <c r="R355" s="325" t="s">
        <v>3854</v>
      </c>
    </row>
    <row r="356" spans="2:18">
      <c r="B356" s="182" t="str">
        <f t="shared" si="21"/>
        <v>Overlay clip hinge</v>
      </c>
      <c r="M356" s="175" t="s">
        <v>64</v>
      </c>
      <c r="N356" s="133" t="s">
        <v>64</v>
      </c>
      <c r="O356" s="133" t="s">
        <v>216</v>
      </c>
      <c r="P356" s="133" t="s">
        <v>282</v>
      </c>
      <c r="Q356" s="133" t="s">
        <v>1448</v>
      </c>
      <c r="R356" s="325" t="s">
        <v>3839</v>
      </c>
    </row>
    <row r="357" spans="2:18">
      <c r="B357" s="182" t="str">
        <f t="shared" si="21"/>
        <v>Half-overlay clip hinge</v>
      </c>
      <c r="M357" s="175" t="s">
        <v>65</v>
      </c>
      <c r="N357" s="133" t="s">
        <v>65</v>
      </c>
      <c r="O357" s="133" t="s">
        <v>217</v>
      </c>
      <c r="P357" s="133" t="s">
        <v>1242</v>
      </c>
      <c r="Q357" s="133" t="s">
        <v>1449</v>
      </c>
      <c r="R357" s="325" t="s">
        <v>3840</v>
      </c>
    </row>
    <row r="358" spans="2:18">
      <c r="B358" s="182" t="str">
        <f t="shared" si="21"/>
        <v>Inset clip hinge</v>
      </c>
      <c r="M358" s="175" t="s">
        <v>66</v>
      </c>
      <c r="N358" s="133" t="s">
        <v>66</v>
      </c>
      <c r="O358" s="133" t="s">
        <v>218</v>
      </c>
      <c r="P358" s="133" t="s">
        <v>1243</v>
      </c>
      <c r="Q358" s="133" t="s">
        <v>1450</v>
      </c>
      <c r="R358" s="325" t="s">
        <v>3841</v>
      </c>
    </row>
    <row r="359" spans="2:18">
      <c r="B359" s="182" t="str">
        <f t="shared" si="21"/>
        <v>45° clip-on</v>
      </c>
      <c r="M359" s="175" t="s">
        <v>0</v>
      </c>
      <c r="N359" s="133" t="s">
        <v>178</v>
      </c>
      <c r="O359" s="133" t="s">
        <v>0</v>
      </c>
      <c r="P359" s="133" t="s">
        <v>1249</v>
      </c>
      <c r="Q359" s="133" t="s">
        <v>1472</v>
      </c>
      <c r="R359" s="325" t="s">
        <v>3865</v>
      </c>
    </row>
    <row r="360" spans="2:18">
      <c r="B360" s="182" t="str">
        <f t="shared" si="21"/>
        <v>StrongHinges clip-on on Euro Screw H0</v>
      </c>
      <c r="M360" s="175" t="s">
        <v>2332</v>
      </c>
      <c r="N360" s="133" t="s">
        <v>2333</v>
      </c>
      <c r="O360" s="133" t="s">
        <v>2334</v>
      </c>
      <c r="P360" s="133" t="s">
        <v>2335</v>
      </c>
      <c r="Q360" s="133" t="s">
        <v>2336</v>
      </c>
      <c r="R360" s="325" t="s">
        <v>3961</v>
      </c>
    </row>
    <row r="361" spans="2:18">
      <c r="B361" s="182" t="str">
        <f t="shared" si="21"/>
        <v>StrongHinges clip-on to vrut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clip-on to H2 Euro Screw</v>
      </c>
      <c r="M362" s="175" t="s">
        <v>2342</v>
      </c>
      <c r="N362" s="133" t="s">
        <v>2343</v>
      </c>
      <c r="O362" s="133" t="s">
        <v>2344</v>
      </c>
      <c r="P362" s="133" t="s">
        <v>2345</v>
      </c>
      <c r="Q362" s="133" t="s">
        <v>2346</v>
      </c>
      <c r="R362" s="325" t="s">
        <v>3963</v>
      </c>
    </row>
    <row r="363" spans="2:18">
      <c r="B363" s="182" t="str">
        <f t="shared" si="22"/>
        <v>StrongHinges clip-on to vrut H2</v>
      </c>
      <c r="M363" s="175" t="s">
        <v>2347</v>
      </c>
      <c r="N363" s="133" t="s">
        <v>2348</v>
      </c>
      <c r="O363" s="133" t="s">
        <v>2349</v>
      </c>
      <c r="P363" s="133" t="s">
        <v>2350</v>
      </c>
      <c r="Q363" s="133" t="s">
        <v>2351</v>
      </c>
      <c r="R363" s="325" t="s">
        <v>3964</v>
      </c>
    </row>
    <row r="364" spans="2:18">
      <c r="B364" s="182" t="str">
        <f t="shared" si="22"/>
        <v>Overlay clip hinge</v>
      </c>
      <c r="M364" s="175" t="s">
        <v>64</v>
      </c>
      <c r="N364" s="133" t="s">
        <v>64</v>
      </c>
      <c r="O364" s="133" t="s">
        <v>216</v>
      </c>
      <c r="P364" s="133" t="s">
        <v>282</v>
      </c>
      <c r="Q364" s="133" t="s">
        <v>1448</v>
      </c>
      <c r="R364" s="325" t="s">
        <v>3839</v>
      </c>
    </row>
    <row r="365" spans="2:18">
      <c r="B365" s="182" t="str">
        <f t="shared" si="22"/>
        <v>Overlay clip hinge</v>
      </c>
      <c r="M365" s="175" t="s">
        <v>64</v>
      </c>
      <c r="N365" s="133" t="s">
        <v>64</v>
      </c>
      <c r="O365" s="133" t="s">
        <v>216</v>
      </c>
      <c r="P365" s="133" t="s">
        <v>282</v>
      </c>
      <c r="Q365" s="133" t="s">
        <v>1448</v>
      </c>
      <c r="R365" s="325" t="s">
        <v>3839</v>
      </c>
    </row>
    <row r="366" spans="2:18">
      <c r="B366" s="182" t="str">
        <f t="shared" si="22"/>
        <v>Half-overlay clip hinge</v>
      </c>
      <c r="M366" s="175" t="s">
        <v>65</v>
      </c>
      <c r="N366" s="133" t="s">
        <v>65</v>
      </c>
      <c r="O366" s="133" t="s">
        <v>217</v>
      </c>
      <c r="P366" s="133" t="s">
        <v>1242</v>
      </c>
      <c r="Q366" s="133" t="s">
        <v>1449</v>
      </c>
      <c r="R366" s="325" t="s">
        <v>3840</v>
      </c>
    </row>
    <row r="367" spans="2:18">
      <c r="B367" s="182" t="str">
        <f t="shared" si="22"/>
        <v>Inset clip hinge</v>
      </c>
      <c r="M367" s="175" t="s">
        <v>66</v>
      </c>
      <c r="N367" s="133" t="s">
        <v>66</v>
      </c>
      <c r="O367" s="133" t="s">
        <v>218</v>
      </c>
      <c r="P367" s="133" t="s">
        <v>1243</v>
      </c>
      <c r="Q367" s="133" t="s">
        <v>1450</v>
      </c>
      <c r="R367" s="325" t="s">
        <v>3841</v>
      </c>
    </row>
    <row r="368" spans="2:18">
      <c r="B368" s="182" t="str">
        <f t="shared" si="22"/>
        <v>45° clip-on</v>
      </c>
      <c r="M368" s="175" t="s">
        <v>0</v>
      </c>
      <c r="N368" s="133" t="s">
        <v>178</v>
      </c>
      <c r="O368" s="133" t="s">
        <v>0</v>
      </c>
      <c r="P368" s="133" t="s">
        <v>1249</v>
      </c>
      <c r="Q368" s="133" t="s">
        <v>1472</v>
      </c>
      <c r="R368" s="325" t="s">
        <v>3865</v>
      </c>
    </row>
    <row r="369" spans="2:18">
      <c r="B369" s="182" t="str">
        <f t="shared" si="22"/>
        <v>Clip-on H0 for Euro-Screw fixing</v>
      </c>
      <c r="M369" s="175" t="s">
        <v>86</v>
      </c>
      <c r="N369" s="133" t="s">
        <v>179</v>
      </c>
      <c r="O369" s="133" t="s">
        <v>240</v>
      </c>
      <c r="P369" s="133" t="s">
        <v>303</v>
      </c>
      <c r="Q369" s="133" t="s">
        <v>1473</v>
      </c>
      <c r="R369" s="325" t="s">
        <v>3965</v>
      </c>
    </row>
    <row r="370" spans="2:18">
      <c r="B370" s="182" t="str">
        <f t="shared" si="22"/>
        <v>Clip-on H0 for screw fixing</v>
      </c>
      <c r="M370" s="175" t="s">
        <v>85</v>
      </c>
      <c r="N370" s="133" t="s">
        <v>180</v>
      </c>
      <c r="O370" s="133" t="s">
        <v>241</v>
      </c>
      <c r="P370" s="133" t="s">
        <v>304</v>
      </c>
      <c r="Q370" s="133" t="s">
        <v>1474</v>
      </c>
      <c r="R370" s="325" t="s">
        <v>3867</v>
      </c>
    </row>
    <row r="371" spans="2:18">
      <c r="B371" s="182" t="str">
        <f t="shared" si="22"/>
        <v>Clip on plate H2 for Euro-screws fixing</v>
      </c>
      <c r="M371" s="175" t="s">
        <v>89</v>
      </c>
      <c r="N371" s="133" t="s">
        <v>166</v>
      </c>
      <c r="O371" s="133" t="s">
        <v>227</v>
      </c>
      <c r="P371" s="133" t="s">
        <v>290</v>
      </c>
      <c r="Q371" s="133" t="s">
        <v>1457</v>
      </c>
      <c r="R371" s="325" t="s">
        <v>3966</v>
      </c>
    </row>
    <row r="372" spans="2:18">
      <c r="B372" s="182" t="str">
        <f t="shared" si="22"/>
        <v>Sensys Overlay soft-closing</v>
      </c>
      <c r="M372" s="175" t="s">
        <v>569</v>
      </c>
      <c r="N372" s="133" t="s">
        <v>661</v>
      </c>
      <c r="O372" s="133" t="s">
        <v>662</v>
      </c>
      <c r="P372" s="133" t="s">
        <v>663</v>
      </c>
      <c r="Q372" s="133" t="s">
        <v>1514</v>
      </c>
      <c r="R372" s="325" t="s">
        <v>3967</v>
      </c>
    </row>
    <row r="373" spans="2:18">
      <c r="B373" s="182" t="str">
        <f t="shared" si="22"/>
        <v>Sensys half-Overlay soft-closing</v>
      </c>
      <c r="M373" s="175" t="s">
        <v>570</v>
      </c>
      <c r="N373" s="133" t="s">
        <v>664</v>
      </c>
      <c r="O373" s="133" t="s">
        <v>665</v>
      </c>
      <c r="P373" s="133" t="s">
        <v>1267</v>
      </c>
      <c r="Q373" s="133" t="s">
        <v>1515</v>
      </c>
      <c r="R373" s="325" t="s">
        <v>3968</v>
      </c>
    </row>
    <row r="374" spans="2:18">
      <c r="B374" s="182" t="str">
        <f t="shared" si="22"/>
        <v>Sensys Inset soft-closing</v>
      </c>
      <c r="M374" s="175" t="s">
        <v>571</v>
      </c>
      <c r="N374" s="133" t="s">
        <v>666</v>
      </c>
      <c r="O374" s="133" t="s">
        <v>667</v>
      </c>
      <c r="P374" s="133" t="s">
        <v>1268</v>
      </c>
      <c r="Q374" s="133" t="s">
        <v>1516</v>
      </c>
      <c r="R374" s="325" t="s">
        <v>3969</v>
      </c>
    </row>
    <row r="375" spans="2:18">
      <c r="B375" s="182" t="str">
        <f t="shared" si="22"/>
        <v>Sensys 90° hinge soft-closing</v>
      </c>
      <c r="M375" s="175" t="s">
        <v>572</v>
      </c>
      <c r="N375" s="133" t="s">
        <v>668</v>
      </c>
      <c r="O375" s="133" t="s">
        <v>669</v>
      </c>
      <c r="P375" s="133" t="s">
        <v>670</v>
      </c>
      <c r="Q375" s="133" t="s">
        <v>1517</v>
      </c>
      <c r="R375" s="329" t="s">
        <v>3970</v>
      </c>
    </row>
    <row r="376" spans="2:18">
      <c r="B376" s="182" t="str">
        <f t="shared" si="22"/>
        <v>Sensys Overlay Unsoft-closing</v>
      </c>
      <c r="M376" s="175" t="s">
        <v>573</v>
      </c>
      <c r="N376" s="133" t="s">
        <v>671</v>
      </c>
      <c r="O376" s="133" t="s">
        <v>672</v>
      </c>
      <c r="P376" s="133" t="s">
        <v>673</v>
      </c>
      <c r="Q376" s="133" t="s">
        <v>1518</v>
      </c>
      <c r="R376" s="325" t="s">
        <v>3971</v>
      </c>
    </row>
    <row r="377" spans="2:18">
      <c r="B377" s="182" t="str">
        <f t="shared" si="22"/>
        <v>Intermat Overlay</v>
      </c>
      <c r="M377" s="175" t="s">
        <v>574</v>
      </c>
      <c r="N377" s="133" t="s">
        <v>574</v>
      </c>
      <c r="O377" s="133" t="s">
        <v>674</v>
      </c>
      <c r="P377" s="133" t="s">
        <v>675</v>
      </c>
      <c r="Q377" s="133" t="s">
        <v>1519</v>
      </c>
      <c r="R377" s="325" t="s">
        <v>3972</v>
      </c>
    </row>
    <row r="378" spans="2:18">
      <c r="B378" s="182" t="str">
        <f t="shared" si="22"/>
        <v>Intermat Overlay 125°</v>
      </c>
      <c r="M378" s="175" t="s">
        <v>575</v>
      </c>
      <c r="N378" s="133" t="s">
        <v>575</v>
      </c>
      <c r="O378" s="133" t="s">
        <v>676</v>
      </c>
      <c r="P378" s="133" t="s">
        <v>677</v>
      </c>
      <c r="Q378" s="133" t="s">
        <v>1520</v>
      </c>
      <c r="R378" s="325" t="s">
        <v>3973</v>
      </c>
    </row>
    <row r="379" spans="2:18">
      <c r="B379" s="182" t="str">
        <f t="shared" si="22"/>
        <v>Intermat half-Overlay</v>
      </c>
      <c r="M379" s="175" t="s">
        <v>576</v>
      </c>
      <c r="N379" s="133" t="s">
        <v>576</v>
      </c>
      <c r="O379" s="133" t="s">
        <v>678</v>
      </c>
      <c r="P379" s="133" t="s">
        <v>1269</v>
      </c>
      <c r="Q379" s="133" t="s">
        <v>1521</v>
      </c>
      <c r="R379" s="325" t="s">
        <v>4216</v>
      </c>
    </row>
    <row r="380" spans="2:18">
      <c r="B380" s="182" t="str">
        <f t="shared" si="22"/>
        <v>Intermat inserted</v>
      </c>
      <c r="M380" s="175" t="s">
        <v>577</v>
      </c>
      <c r="N380" s="133" t="s">
        <v>577</v>
      </c>
      <c r="O380" s="133" t="s">
        <v>679</v>
      </c>
      <c r="P380" s="133" t="s">
        <v>1270</v>
      </c>
      <c r="Q380" s="133" t="s">
        <v>1387</v>
      </c>
      <c r="R380" s="325" t="s">
        <v>3974</v>
      </c>
    </row>
    <row r="381" spans="2:18">
      <c r="B381" s="182" t="str">
        <f t="shared" si="22"/>
        <v>Intermat 90° hinge</v>
      </c>
      <c r="M381" s="175" t="s">
        <v>578</v>
      </c>
      <c r="N381" s="133" t="s">
        <v>680</v>
      </c>
      <c r="O381" s="133" t="s">
        <v>681</v>
      </c>
      <c r="P381" s="133" t="s">
        <v>682</v>
      </c>
      <c r="Q381" s="133" t="s">
        <v>1522</v>
      </c>
      <c r="R381" s="325" t="s">
        <v>3975</v>
      </c>
    </row>
    <row r="382" spans="2:18">
      <c r="B382" s="182" t="str">
        <f t="shared" si="22"/>
        <v>Sensys Overlay without soft-closing</v>
      </c>
      <c r="M382" s="175" t="s">
        <v>597</v>
      </c>
      <c r="N382" s="133" t="s">
        <v>683</v>
      </c>
      <c r="O382" s="133" t="s">
        <v>672</v>
      </c>
      <c r="P382" s="133" t="s">
        <v>673</v>
      </c>
      <c r="Q382" s="133" t="s">
        <v>1523</v>
      </c>
      <c r="R382" s="325" t="s">
        <v>3971</v>
      </c>
    </row>
    <row r="383" spans="2:18">
      <c r="B383" s="182" t="str">
        <f t="shared" si="22"/>
        <v>Sensys inserted without soft-closing</v>
      </c>
      <c r="M383" s="175" t="s">
        <v>598</v>
      </c>
      <c r="N383" s="133" t="s">
        <v>684</v>
      </c>
      <c r="O383" s="133" t="s">
        <v>685</v>
      </c>
      <c r="P383" s="133" t="s">
        <v>1271</v>
      </c>
      <c r="Q383" s="133" t="s">
        <v>1524</v>
      </c>
      <c r="R383" s="325" t="s">
        <v>3976</v>
      </c>
    </row>
    <row r="384" spans="2:18">
      <c r="B384" s="182" t="str">
        <f t="shared" si="22"/>
        <v>Sensys Overlay soft-closing</v>
      </c>
      <c r="M384" s="175" t="s">
        <v>569</v>
      </c>
      <c r="N384" s="133" t="s">
        <v>661</v>
      </c>
      <c r="O384" s="133" t="s">
        <v>662</v>
      </c>
      <c r="P384" s="133" t="s">
        <v>663</v>
      </c>
      <c r="Q384" s="133" t="s">
        <v>1514</v>
      </c>
      <c r="R384" s="325" t="s">
        <v>3967</v>
      </c>
    </row>
    <row r="385" spans="2:18">
      <c r="B385" s="182" t="str">
        <f t="shared" si="22"/>
        <v>Sensys Inset soft-closing</v>
      </c>
      <c r="M385" s="175" t="s">
        <v>571</v>
      </c>
      <c r="N385" s="133" t="s">
        <v>666</v>
      </c>
      <c r="O385" s="133" t="s">
        <v>667</v>
      </c>
      <c r="P385" s="133" t="s">
        <v>1268</v>
      </c>
      <c r="Q385" s="133" t="s">
        <v>1516</v>
      </c>
      <c r="R385" s="325" t="s">
        <v>3969</v>
      </c>
    </row>
    <row r="386" spans="2:18">
      <c r="B386" s="182" t="str">
        <f t="shared" si="22"/>
        <v>Intermat Overlay</v>
      </c>
      <c r="M386" s="175" t="s">
        <v>574</v>
      </c>
      <c r="N386" s="133" t="s">
        <v>574</v>
      </c>
      <c r="O386" s="133" t="s">
        <v>674</v>
      </c>
      <c r="P386" s="133" t="s">
        <v>675</v>
      </c>
      <c r="Q386" s="133" t="s">
        <v>1519</v>
      </c>
      <c r="R386" s="325" t="s">
        <v>3972</v>
      </c>
    </row>
    <row r="387" spans="2:18">
      <c r="B387" s="182" t="str">
        <f t="shared" si="22"/>
        <v>Intermat inserted</v>
      </c>
      <c r="M387" s="175" t="s">
        <v>577</v>
      </c>
      <c r="N387" s="133" t="s">
        <v>577</v>
      </c>
      <c r="O387" s="133" t="s">
        <v>679</v>
      </c>
      <c r="P387" s="133" t="s">
        <v>1270</v>
      </c>
      <c r="Q387" s="133" t="s">
        <v>1387</v>
      </c>
      <c r="R387" s="325" t="s">
        <v>3974</v>
      </c>
    </row>
    <row r="388" spans="2:18">
      <c r="B388" s="182" t="str">
        <f t="shared" si="22"/>
        <v>screw plate</v>
      </c>
      <c r="M388" s="175" t="s">
        <v>645</v>
      </c>
      <c r="N388" s="133" t="s">
        <v>645</v>
      </c>
      <c r="O388" s="133" t="s">
        <v>686</v>
      </c>
      <c r="P388" s="133" t="s">
        <v>687</v>
      </c>
      <c r="Q388" s="133" t="s">
        <v>1525</v>
      </c>
      <c r="R388" s="329" t="s">
        <v>3977</v>
      </c>
    </row>
    <row r="389" spans="2:18">
      <c r="B389" s="182" t="str">
        <f t="shared" si="22"/>
        <v>plate for Euro-screw fixing</v>
      </c>
      <c r="M389" s="175" t="s">
        <v>579</v>
      </c>
      <c r="N389" s="133" t="s">
        <v>579</v>
      </c>
      <c r="O389" s="133" t="s">
        <v>688</v>
      </c>
      <c r="P389" s="133" t="s">
        <v>689</v>
      </c>
      <c r="Q389" s="133" t="s">
        <v>1526</v>
      </c>
      <c r="R389" s="329" t="s">
        <v>3978</v>
      </c>
    </row>
    <row r="390" spans="2:18">
      <c r="B390" s="182" t="str">
        <f t="shared" si="22"/>
        <v>spacer plate</v>
      </c>
      <c r="M390" s="175" t="s">
        <v>580</v>
      </c>
      <c r="N390" s="133" t="s">
        <v>690</v>
      </c>
      <c r="O390" s="133" t="s">
        <v>691</v>
      </c>
      <c r="P390" s="133" t="s">
        <v>692</v>
      </c>
      <c r="Q390" s="133" t="s">
        <v>1527</v>
      </c>
      <c r="R390" s="329" t="s">
        <v>3979</v>
      </c>
    </row>
    <row r="391" spans="2:18">
      <c r="B391" s="182" t="str">
        <f t="shared" si="22"/>
        <v>Overlay clip hinge</v>
      </c>
      <c r="M391" s="175" t="s">
        <v>646</v>
      </c>
      <c r="N391" s="133" t="s">
        <v>64</v>
      </c>
      <c r="O391" s="133" t="s">
        <v>216</v>
      </c>
      <c r="P391" s="133" t="s">
        <v>282</v>
      </c>
      <c r="Q391" s="133" t="s">
        <v>1448</v>
      </c>
      <c r="R391" s="325" t="s">
        <v>3839</v>
      </c>
    </row>
    <row r="392" spans="2:18">
      <c r="B392" s="182" t="str">
        <f t="shared" si="22"/>
        <v>Half-overlay clip hinge</v>
      </c>
      <c r="M392" s="175" t="s">
        <v>647</v>
      </c>
      <c r="N392" s="133" t="s">
        <v>65</v>
      </c>
      <c r="O392" s="133" t="s">
        <v>217</v>
      </c>
      <c r="P392" s="133" t="s">
        <v>1242</v>
      </c>
      <c r="Q392" s="133" t="s">
        <v>1449</v>
      </c>
      <c r="R392" s="325" t="s">
        <v>3840</v>
      </c>
    </row>
    <row r="393" spans="2:18">
      <c r="B393" s="182" t="str">
        <f t="shared" si="22"/>
        <v>Inset clip hinge</v>
      </c>
      <c r="M393" s="175" t="s">
        <v>66</v>
      </c>
      <c r="N393" s="133" t="s">
        <v>66</v>
      </c>
      <c r="O393" s="133" t="s">
        <v>218</v>
      </c>
      <c r="P393" s="133" t="s">
        <v>1243</v>
      </c>
      <c r="Q393" s="133" t="s">
        <v>1450</v>
      </c>
      <c r="R393" s="325" t="s">
        <v>3841</v>
      </c>
    </row>
    <row r="394" spans="2:18">
      <c r="B394" s="182" t="str">
        <f t="shared" si="22"/>
        <v>Overlay with 110° soft-closing clip-on</v>
      </c>
      <c r="M394" s="175" t="s">
        <v>583</v>
      </c>
      <c r="N394" s="133" t="s">
        <v>693</v>
      </c>
      <c r="O394" s="133" t="s">
        <v>694</v>
      </c>
      <c r="P394" s="133" t="s">
        <v>827</v>
      </c>
      <c r="Q394" s="133" t="s">
        <v>1528</v>
      </c>
      <c r="R394" s="325" t="s">
        <v>3980</v>
      </c>
    </row>
    <row r="395" spans="2:18">
      <c r="B395" s="182" t="str">
        <f t="shared" si="22"/>
        <v>half-Overlay with 110° soft-closing clip-on</v>
      </c>
      <c r="M395" s="175" t="s">
        <v>584</v>
      </c>
      <c r="N395" s="133" t="s">
        <v>695</v>
      </c>
      <c r="O395" s="133" t="s">
        <v>696</v>
      </c>
      <c r="P395" s="133" t="s">
        <v>1272</v>
      </c>
      <c r="Q395" s="133" t="s">
        <v>1529</v>
      </c>
      <c r="R395" s="325" t="s">
        <v>3981</v>
      </c>
    </row>
    <row r="396" spans="2:18">
      <c r="B396" s="182" t="str">
        <f t="shared" si="22"/>
        <v>Inset with 110° soft-closing clip-on</v>
      </c>
      <c r="M396" s="175" t="s">
        <v>585</v>
      </c>
      <c r="N396" s="133" t="s">
        <v>697</v>
      </c>
      <c r="O396" s="133" t="s">
        <v>698</v>
      </c>
      <c r="P396" s="133" t="s">
        <v>1273</v>
      </c>
      <c r="Q396" s="133" t="s">
        <v>1530</v>
      </c>
      <c r="R396" s="325" t="s">
        <v>3982</v>
      </c>
    </row>
    <row r="397" spans="2:18">
      <c r="B397" s="182" t="str">
        <f t="shared" si="22"/>
        <v>Overlay without soft-closing clip-on 110°</v>
      </c>
      <c r="M397" s="175" t="s">
        <v>586</v>
      </c>
      <c r="N397" s="133" t="s">
        <v>699</v>
      </c>
      <c r="O397" s="133" t="s">
        <v>700</v>
      </c>
      <c r="P397" s="133" t="s">
        <v>828</v>
      </c>
      <c r="Q397" s="133" t="s">
        <v>1531</v>
      </c>
      <c r="R397" s="325" t="s">
        <v>3983</v>
      </c>
    </row>
    <row r="398" spans="2:18">
      <c r="B398" s="182" t="str">
        <f t="shared" si="22"/>
        <v>half-Overlay without soft-closing clip-on 110°</v>
      </c>
      <c r="M398" s="175" t="s">
        <v>587</v>
      </c>
      <c r="N398" s="133" t="s">
        <v>701</v>
      </c>
      <c r="O398" s="133" t="s">
        <v>702</v>
      </c>
      <c r="P398" s="133" t="s">
        <v>1274</v>
      </c>
      <c r="Q398" s="133" t="s">
        <v>1532</v>
      </c>
      <c r="R398" s="325" t="s">
        <v>3984</v>
      </c>
    </row>
    <row r="399" spans="2:18">
      <c r="B399" s="182" t="str">
        <f t="shared" si="22"/>
        <v>inserted without clip-on mute 110°</v>
      </c>
      <c r="M399" s="175" t="s">
        <v>588</v>
      </c>
      <c r="N399" s="133" t="s">
        <v>703</v>
      </c>
      <c r="O399" s="133" t="s">
        <v>704</v>
      </c>
      <c r="P399" s="133" t="s">
        <v>841</v>
      </c>
      <c r="Q399" s="133" t="s">
        <v>1533</v>
      </c>
      <c r="R399" s="325" t="s">
        <v>3985</v>
      </c>
    </row>
    <row r="400" spans="2:18">
      <c r="B400" s="182" t="str">
        <f t="shared" si="22"/>
        <v>Overlay TIP-ON clip-on 110°</v>
      </c>
      <c r="M400" s="175" t="s">
        <v>589</v>
      </c>
      <c r="N400" s="133" t="s">
        <v>589</v>
      </c>
      <c r="O400" s="133" t="s">
        <v>705</v>
      </c>
      <c r="P400" s="133" t="s">
        <v>829</v>
      </c>
      <c r="Q400" s="133" t="s">
        <v>1534</v>
      </c>
      <c r="R400" s="325" t="s">
        <v>3986</v>
      </c>
    </row>
    <row r="401" spans="2:18">
      <c r="B401" s="182" t="str">
        <f t="shared" si="22"/>
        <v>half-Overlay TIP-ON clip-on 110°</v>
      </c>
      <c r="M401" s="175" t="s">
        <v>590</v>
      </c>
      <c r="N401" s="133" t="s">
        <v>590</v>
      </c>
      <c r="O401" s="133" t="s">
        <v>706</v>
      </c>
      <c r="P401" s="133" t="s">
        <v>1275</v>
      </c>
      <c r="Q401" s="133" t="s">
        <v>1535</v>
      </c>
      <c r="R401" s="325" t="s">
        <v>3987</v>
      </c>
    </row>
    <row r="402" spans="2:18">
      <c r="B402" s="182" t="str">
        <f t="shared" si="22"/>
        <v>Inset TIP-ON clip-on 110°</v>
      </c>
      <c r="M402" s="175" t="s">
        <v>591</v>
      </c>
      <c r="N402" s="133" t="s">
        <v>591</v>
      </c>
      <c r="O402" s="133" t="s">
        <v>707</v>
      </c>
      <c r="P402" s="133" t="s">
        <v>1276</v>
      </c>
      <c r="Q402" s="133" t="s">
        <v>1536</v>
      </c>
      <c r="R402" s="325" t="s">
        <v>3988</v>
      </c>
    </row>
    <row r="403" spans="2:18">
      <c r="B403" s="182" t="str">
        <f t="shared" si="22"/>
        <v>Overlay clip hinge</v>
      </c>
      <c r="M403" s="175" t="s">
        <v>646</v>
      </c>
      <c r="N403" s="133" t="s">
        <v>64</v>
      </c>
      <c r="O403" s="133" t="s">
        <v>216</v>
      </c>
      <c r="P403" s="133" t="s">
        <v>282</v>
      </c>
      <c r="Q403" s="133" t="s">
        <v>1448</v>
      </c>
      <c r="R403" s="325" t="s">
        <v>3839</v>
      </c>
    </row>
    <row r="404" spans="2:18">
      <c r="B404" s="182" t="str">
        <f t="shared" si="22"/>
        <v>Half-overlay clip hinge</v>
      </c>
      <c r="M404" s="175" t="s">
        <v>647</v>
      </c>
      <c r="N404" s="133" t="s">
        <v>65</v>
      </c>
      <c r="O404" s="133" t="s">
        <v>217</v>
      </c>
      <c r="P404" s="133" t="s">
        <v>1242</v>
      </c>
      <c r="Q404" s="133" t="s">
        <v>1449</v>
      </c>
      <c r="R404" s="325" t="s">
        <v>3840</v>
      </c>
    </row>
    <row r="405" spans="2:18">
      <c r="B405" s="182" t="str">
        <f t="shared" si="22"/>
        <v>Inset clip hinge</v>
      </c>
      <c r="M405" s="175" t="s">
        <v>66</v>
      </c>
      <c r="N405" s="133" t="s">
        <v>66</v>
      </c>
      <c r="O405" s="133" t="s">
        <v>218</v>
      </c>
      <c r="P405" s="133" t="s">
        <v>1243</v>
      </c>
      <c r="Q405" s="133" t="s">
        <v>1450</v>
      </c>
      <c r="R405" s="325" t="s">
        <v>3841</v>
      </c>
    </row>
    <row r="406" spans="2:18">
      <c r="B406" s="182" t="str">
        <f t="shared" si="22"/>
        <v>Overlay with 95° soft-closing clip-on</v>
      </c>
      <c r="M406" s="175" t="s">
        <v>592</v>
      </c>
      <c r="N406" s="133" t="s">
        <v>708</v>
      </c>
      <c r="O406" s="133" t="s">
        <v>709</v>
      </c>
      <c r="P406" s="133" t="s">
        <v>830</v>
      </c>
      <c r="Q406" s="133" t="s">
        <v>1537</v>
      </c>
      <c r="R406" s="325" t="s">
        <v>3989</v>
      </c>
    </row>
    <row r="407" spans="2:18">
      <c r="B407" s="182" t="str">
        <f t="shared" si="22"/>
        <v>half-Overlay with 95° soft-closing clip-on</v>
      </c>
      <c r="M407" s="175" t="s">
        <v>593</v>
      </c>
      <c r="N407" s="133" t="s">
        <v>710</v>
      </c>
      <c r="O407" s="133" t="s">
        <v>711</v>
      </c>
      <c r="P407" s="133" t="s">
        <v>1277</v>
      </c>
      <c r="Q407" s="133" t="s">
        <v>1538</v>
      </c>
      <c r="R407" s="325" t="s">
        <v>3990</v>
      </c>
    </row>
    <row r="408" spans="2:18">
      <c r="B408" s="182" t="str">
        <f t="shared" si="22"/>
        <v>inset with 95°clip-on soft-closing</v>
      </c>
      <c r="M408" s="175" t="s">
        <v>594</v>
      </c>
      <c r="N408" s="133" t="s">
        <v>712</v>
      </c>
      <c r="O408" s="133" t="s">
        <v>713</v>
      </c>
      <c r="P408" s="133" t="s">
        <v>1278</v>
      </c>
      <c r="Q408" s="133" t="s">
        <v>1539</v>
      </c>
      <c r="R408" s="325" t="s">
        <v>3991</v>
      </c>
    </row>
    <row r="409" spans="2:18">
      <c r="B409" s="182" t="str">
        <f t="shared" si="22"/>
        <v>Overlay TIP-ON clip-on 95°</v>
      </c>
      <c r="M409" s="175" t="s">
        <v>595</v>
      </c>
      <c r="N409" s="133" t="s">
        <v>595</v>
      </c>
      <c r="O409" s="133" t="s">
        <v>714</v>
      </c>
      <c r="P409" s="133" t="s">
        <v>831</v>
      </c>
      <c r="Q409" s="133" t="s">
        <v>1540</v>
      </c>
      <c r="R409" s="325" t="s">
        <v>3992</v>
      </c>
    </row>
    <row r="410" spans="2:18">
      <c r="B410" s="182" t="str">
        <f t="shared" si="22"/>
        <v>Overlay TIP-ON clip-on 120°</v>
      </c>
      <c r="M410" s="175" t="s">
        <v>596</v>
      </c>
      <c r="N410" s="133" t="s">
        <v>596</v>
      </c>
      <c r="O410" s="133" t="s">
        <v>715</v>
      </c>
      <c r="P410" s="133" t="s">
        <v>832</v>
      </c>
      <c r="Q410" s="133" t="s">
        <v>1541</v>
      </c>
      <c r="R410" s="325" t="s">
        <v>3993</v>
      </c>
    </row>
    <row r="411" spans="2:18">
      <c r="B411" s="182" t="str">
        <f t="shared" si="22"/>
        <v>Clip-on for Euro-screw fixing</v>
      </c>
      <c r="M411" s="175" t="s">
        <v>83</v>
      </c>
      <c r="N411" s="133" t="s">
        <v>175</v>
      </c>
      <c r="O411" s="133" t="s">
        <v>238</v>
      </c>
      <c r="P411" s="133" t="s">
        <v>300</v>
      </c>
      <c r="Q411" s="133" t="s">
        <v>1470</v>
      </c>
      <c r="R411" s="325" t="s">
        <v>3994</v>
      </c>
    </row>
    <row r="412" spans="2:18">
      <c r="B412" s="182" t="str">
        <f t="shared" si="22"/>
        <v>Clip-on for screw fixing</v>
      </c>
      <c r="M412" s="175" t="s">
        <v>82</v>
      </c>
      <c r="N412" s="133" t="s">
        <v>176</v>
      </c>
      <c r="O412" s="133" t="s">
        <v>239</v>
      </c>
      <c r="P412" s="133" t="s">
        <v>301</v>
      </c>
      <c r="Q412" s="133" t="s">
        <v>1471</v>
      </c>
      <c r="R412" s="325" t="s">
        <v>3863</v>
      </c>
    </row>
    <row r="413" spans="2:18">
      <c r="B413" s="182" t="str">
        <f t="shared" si="22"/>
        <v>Increased by 6 mm</v>
      </c>
      <c r="M413" s="175" t="s">
        <v>84</v>
      </c>
      <c r="N413" s="133" t="s">
        <v>177</v>
      </c>
      <c r="O413" s="133" t="s">
        <v>1303</v>
      </c>
      <c r="P413" s="133" t="s">
        <v>302</v>
      </c>
      <c r="Q413" s="133" t="s">
        <v>906</v>
      </c>
      <c r="R413" s="325" t="s">
        <v>3995</v>
      </c>
    </row>
    <row r="414" spans="2:18">
      <c r="B414" s="182" t="str">
        <f t="shared" si="22"/>
        <v>Overlay Slide-on</v>
      </c>
      <c r="M414" s="133" t="s">
        <v>635</v>
      </c>
      <c r="N414" s="133" t="s">
        <v>716</v>
      </c>
      <c r="O414" s="133" t="s">
        <v>717</v>
      </c>
      <c r="P414" s="133" t="s">
        <v>1279</v>
      </c>
      <c r="Q414" s="133" t="s">
        <v>1542</v>
      </c>
      <c r="R414" s="325" t="s">
        <v>3996</v>
      </c>
    </row>
    <row r="415" spans="2:18">
      <c r="B415" s="182" t="str">
        <f t="shared" si="22"/>
        <v>Half-overlay Slide-on</v>
      </c>
      <c r="M415" s="133" t="s">
        <v>636</v>
      </c>
      <c r="N415" s="133" t="s">
        <v>718</v>
      </c>
      <c r="O415" s="133" t="s">
        <v>719</v>
      </c>
      <c r="P415" s="133" t="s">
        <v>1280</v>
      </c>
      <c r="Q415" s="133" t="s">
        <v>1543</v>
      </c>
      <c r="R415" s="325" t="s">
        <v>3997</v>
      </c>
    </row>
    <row r="416" spans="2:18">
      <c r="B416" s="182" t="str">
        <f t="shared" si="22"/>
        <v>Inset Slide-on</v>
      </c>
      <c r="M416" s="133" t="s">
        <v>637</v>
      </c>
      <c r="N416" s="133" t="s">
        <v>720</v>
      </c>
      <c r="O416" s="133" t="s">
        <v>721</v>
      </c>
      <c r="P416" s="133" t="s">
        <v>1281</v>
      </c>
      <c r="Q416" s="133" t="s">
        <v>1544</v>
      </c>
      <c r="R416" s="325" t="s">
        <v>3998</v>
      </c>
    </row>
    <row r="417" spans="2:18">
      <c r="B417" s="182" t="str">
        <f t="shared" si="22"/>
        <v>STRONG 30N white Automatic</v>
      </c>
      <c r="M417" s="133" t="s">
        <v>600</v>
      </c>
      <c r="N417" s="133" t="s">
        <v>722</v>
      </c>
      <c r="O417" s="133" t="s">
        <v>723</v>
      </c>
      <c r="P417" s="133" t="s">
        <v>724</v>
      </c>
      <c r="Q417" s="133" t="s">
        <v>919</v>
      </c>
      <c r="R417" t="s">
        <v>3999</v>
      </c>
    </row>
    <row r="418" spans="2:18">
      <c r="B418" s="182" t="str">
        <f t="shared" si="22"/>
        <v>STRONG 60N white Automatic</v>
      </c>
      <c r="M418" s="133" t="s">
        <v>601</v>
      </c>
      <c r="N418" s="133" t="s">
        <v>725</v>
      </c>
      <c r="O418" s="133" t="s">
        <v>726</v>
      </c>
      <c r="P418" s="133" t="s">
        <v>727</v>
      </c>
      <c r="Q418" s="133" t="s">
        <v>920</v>
      </c>
      <c r="R418" t="s">
        <v>4000</v>
      </c>
    </row>
    <row r="419" spans="2:18">
      <c r="B419" s="182" t="str">
        <f t="shared" si="22"/>
        <v>STRONG 80N white Automatic</v>
      </c>
      <c r="M419" s="133" t="s">
        <v>602</v>
      </c>
      <c r="N419" s="133" t="s">
        <v>728</v>
      </c>
      <c r="O419" s="133" t="s">
        <v>729</v>
      </c>
      <c r="P419" s="133" t="s">
        <v>730</v>
      </c>
      <c r="Q419" s="133" t="s">
        <v>921</v>
      </c>
      <c r="R419" t="s">
        <v>4001</v>
      </c>
    </row>
    <row r="420" spans="2:18">
      <c r="B420" s="182" t="str">
        <f t="shared" si="22"/>
        <v>STRONG 100N white Automatic</v>
      </c>
      <c r="M420" s="133" t="s">
        <v>603</v>
      </c>
      <c r="N420" s="133" t="s">
        <v>731</v>
      </c>
      <c r="O420" s="133" t="s">
        <v>732</v>
      </c>
      <c r="P420" s="133" t="s">
        <v>733</v>
      </c>
      <c r="Q420" s="133" t="s">
        <v>922</v>
      </c>
      <c r="R420" t="s">
        <v>4002</v>
      </c>
    </row>
    <row r="421" spans="2:18">
      <c r="B421" s="182" t="str">
        <f t="shared" si="22"/>
        <v>STRONG 120N white Automatic</v>
      </c>
      <c r="M421" s="133" t="s">
        <v>604</v>
      </c>
      <c r="N421" s="133" t="s">
        <v>734</v>
      </c>
      <c r="O421" s="133" t="s">
        <v>735</v>
      </c>
      <c r="P421" s="133" t="s">
        <v>736</v>
      </c>
      <c r="Q421" s="133" t="s">
        <v>923</v>
      </c>
      <c r="R421" t="s">
        <v>4003</v>
      </c>
    </row>
    <row r="422" spans="2:18">
      <c r="B422" s="182" t="str">
        <f t="shared" si="22"/>
        <v>STRONG 60N white Free-stop</v>
      </c>
      <c r="M422" s="133" t="s">
        <v>605</v>
      </c>
      <c r="N422" s="133" t="s">
        <v>737</v>
      </c>
      <c r="O422" s="133" t="s">
        <v>738</v>
      </c>
      <c r="P422" s="133" t="s">
        <v>739</v>
      </c>
      <c r="Q422" s="133" t="s">
        <v>1545</v>
      </c>
      <c r="R422" t="s">
        <v>4004</v>
      </c>
    </row>
    <row r="423" spans="2:18">
      <c r="B423" s="182" t="str">
        <f t="shared" si="22"/>
        <v>STRONG 80N white Free-stop</v>
      </c>
      <c r="M423" s="133" t="s">
        <v>606</v>
      </c>
      <c r="N423" s="133" t="s">
        <v>740</v>
      </c>
      <c r="O423" s="133" t="s">
        <v>741</v>
      </c>
      <c r="P423" s="133" t="s">
        <v>742</v>
      </c>
      <c r="Q423" s="133" t="s">
        <v>1546</v>
      </c>
      <c r="R423" t="s">
        <v>4005</v>
      </c>
    </row>
    <row r="424" spans="2:18">
      <c r="B424" s="182" t="str">
        <f t="shared" si="22"/>
        <v>STRONG 100N white Free-stop</v>
      </c>
      <c r="M424" s="133" t="s">
        <v>607</v>
      </c>
      <c r="N424" s="133" t="s">
        <v>743</v>
      </c>
      <c r="O424" s="133" t="s">
        <v>744</v>
      </c>
      <c r="P424" s="133" t="s">
        <v>745</v>
      </c>
      <c r="Q424" s="133" t="s">
        <v>1547</v>
      </c>
      <c r="R424" t="s">
        <v>4006</v>
      </c>
    </row>
    <row r="425" spans="2:18">
      <c r="B425" s="182" t="str">
        <f t="shared" si="22"/>
        <v>STRONG 120N white Free-stop</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Gray Automatic</v>
      </c>
      <c r="M426" s="133" t="s">
        <v>609</v>
      </c>
      <c r="N426" s="133" t="s">
        <v>609</v>
      </c>
      <c r="O426" s="133" t="s">
        <v>749</v>
      </c>
      <c r="P426" s="133" t="s">
        <v>750</v>
      </c>
      <c r="Q426" s="133" t="s">
        <v>1388</v>
      </c>
      <c r="R426" s="325" t="s">
        <v>4008</v>
      </c>
    </row>
    <row r="427" spans="2:18">
      <c r="B427" s="182" t="str">
        <f t="shared" si="23"/>
        <v>STRONG 60N grey Automatic</v>
      </c>
      <c r="M427" s="133" t="s">
        <v>610</v>
      </c>
      <c r="N427" s="133" t="s">
        <v>610</v>
      </c>
      <c r="O427" s="133" t="s">
        <v>751</v>
      </c>
      <c r="P427" s="133" t="s">
        <v>752</v>
      </c>
      <c r="Q427" s="133" t="s">
        <v>924</v>
      </c>
      <c r="R427" s="325" t="s">
        <v>4009</v>
      </c>
    </row>
    <row r="428" spans="2:18">
      <c r="B428" s="182" t="str">
        <f t="shared" si="23"/>
        <v>STRONG 80N Gray Automatic</v>
      </c>
      <c r="M428" s="133" t="s">
        <v>611</v>
      </c>
      <c r="N428" s="133" t="s">
        <v>611</v>
      </c>
      <c r="O428" s="133" t="s">
        <v>753</v>
      </c>
      <c r="P428" s="133" t="s">
        <v>754</v>
      </c>
      <c r="Q428" s="133" t="s">
        <v>1389</v>
      </c>
      <c r="R428" s="325" t="s">
        <v>4010</v>
      </c>
    </row>
    <row r="429" spans="2:18">
      <c r="B429" s="182" t="str">
        <f t="shared" si="23"/>
        <v>STRONG 100N grey Automatic</v>
      </c>
      <c r="M429" s="133" t="s">
        <v>612</v>
      </c>
      <c r="N429" s="133" t="s">
        <v>612</v>
      </c>
      <c r="O429" s="133" t="s">
        <v>755</v>
      </c>
      <c r="P429" s="133" t="s">
        <v>756</v>
      </c>
      <c r="Q429" s="133" t="s">
        <v>925</v>
      </c>
      <c r="R429" s="325" t="s">
        <v>4011</v>
      </c>
    </row>
    <row r="430" spans="2:18">
      <c r="B430" s="182" t="str">
        <f t="shared" si="23"/>
        <v>STRONG 120N grey Automatic</v>
      </c>
      <c r="M430" s="133" t="s">
        <v>613</v>
      </c>
      <c r="N430" s="133" t="s">
        <v>613</v>
      </c>
      <c r="O430" s="133" t="s">
        <v>757</v>
      </c>
      <c r="P430" s="133" t="s">
        <v>758</v>
      </c>
      <c r="Q430" s="133" t="s">
        <v>926</v>
      </c>
      <c r="R430" s="325" t="s">
        <v>4012</v>
      </c>
    </row>
    <row r="431" spans="2:18">
      <c r="B431" s="182" t="str">
        <f t="shared" si="23"/>
        <v>STRONG 60N grey Free-stop</v>
      </c>
      <c r="M431" s="133" t="s">
        <v>614</v>
      </c>
      <c r="N431" s="133" t="s">
        <v>614</v>
      </c>
      <c r="O431" s="133" t="s">
        <v>759</v>
      </c>
      <c r="P431" s="133" t="s">
        <v>760</v>
      </c>
      <c r="Q431" s="133" t="s">
        <v>1549</v>
      </c>
      <c r="R431" s="325" t="s">
        <v>4013</v>
      </c>
    </row>
    <row r="432" spans="2:18">
      <c r="B432" s="182" t="str">
        <f t="shared" si="23"/>
        <v>STRONG 80N grey Free-stop</v>
      </c>
      <c r="M432" s="133" t="s">
        <v>615</v>
      </c>
      <c r="N432" s="133" t="s">
        <v>615</v>
      </c>
      <c r="O432" s="133" t="s">
        <v>761</v>
      </c>
      <c r="P432" s="133" t="s">
        <v>762</v>
      </c>
      <c r="Q432" s="133" t="s">
        <v>1550</v>
      </c>
      <c r="R432" s="325" t="s">
        <v>4014</v>
      </c>
    </row>
    <row r="433" spans="2:18">
      <c r="B433" s="182" t="str">
        <f t="shared" si="23"/>
        <v>STRONG 100N grey Free-stop</v>
      </c>
      <c r="M433" s="133" t="s">
        <v>616</v>
      </c>
      <c r="N433" s="133" t="s">
        <v>616</v>
      </c>
      <c r="O433" s="133" t="s">
        <v>763</v>
      </c>
      <c r="P433" s="133" t="s">
        <v>764</v>
      </c>
      <c r="Q433" s="133" t="s">
        <v>1551</v>
      </c>
      <c r="R433" s="325" t="s">
        <v>4015</v>
      </c>
    </row>
    <row r="434" spans="2:18">
      <c r="B434" s="182" t="str">
        <f t="shared" si="23"/>
        <v>STRONG 120N Gray Positioning</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drop-downwhite</v>
      </c>
      <c r="M456" s="133" t="s">
        <v>629</v>
      </c>
      <c r="N456" s="133" t="s">
        <v>767</v>
      </c>
      <c r="O456" s="133" t="s">
        <v>768</v>
      </c>
      <c r="P456" s="133" t="s">
        <v>769</v>
      </c>
      <c r="Q456" s="133" t="s">
        <v>1552</v>
      </c>
      <c r="R456" s="325" t="s">
        <v>4217</v>
      </c>
    </row>
    <row r="457" spans="2:18">
      <c r="B457" s="182" t="str">
        <f t="shared" si="23"/>
        <v>STRONG drop-downgrey</v>
      </c>
      <c r="M457" s="133" t="s">
        <v>3279</v>
      </c>
      <c r="N457" s="133" t="s">
        <v>770</v>
      </c>
      <c r="O457" s="133" t="s">
        <v>771</v>
      </c>
      <c r="P457" s="133" t="s">
        <v>772</v>
      </c>
      <c r="Q457" s="133" t="s">
        <v>1553</v>
      </c>
      <c r="R457" s="325" t="s">
        <v>4218</v>
      </c>
    </row>
    <row r="458" spans="2:18">
      <c r="B458" s="182" t="str">
        <f t="shared" si="23"/>
        <v>HUWIL DUO (90°)</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CARTON 164 Bottom</v>
      </c>
      <c r="M460" s="133" t="s">
        <v>632</v>
      </c>
      <c r="N460" s="133" t="s">
        <v>773</v>
      </c>
      <c r="O460" s="133" t="s">
        <v>774</v>
      </c>
      <c r="P460" s="133" t="s">
        <v>775</v>
      </c>
      <c r="Q460" s="133" t="s">
        <v>1391</v>
      </c>
      <c r="R460" s="325" t="s">
        <v>4219</v>
      </c>
    </row>
    <row r="461" spans="2:18">
      <c r="B461" s="182" t="str">
        <f t="shared" si="23"/>
        <v>CARTON 244 Bottom</v>
      </c>
      <c r="M461" s="133" t="s">
        <v>633</v>
      </c>
      <c r="N461" s="133" t="s">
        <v>776</v>
      </c>
      <c r="O461" s="133" t="s">
        <v>777</v>
      </c>
      <c r="P461" s="133" t="s">
        <v>778</v>
      </c>
      <c r="Q461" s="133" t="s">
        <v>1392</v>
      </c>
      <c r="R461" s="325" t="s">
        <v>4220</v>
      </c>
    </row>
    <row r="462" spans="2:18">
      <c r="B462" s="182" t="str">
        <f t="shared" si="23"/>
        <v>CARTON 355 Bottom</v>
      </c>
      <c r="M462" s="133" t="s">
        <v>634</v>
      </c>
      <c r="N462" s="133" t="s">
        <v>779</v>
      </c>
      <c r="O462" s="133" t="s">
        <v>780</v>
      </c>
      <c r="P462" s="133" t="s">
        <v>781</v>
      </c>
      <c r="Q462" s="133" t="s">
        <v>1393</v>
      </c>
      <c r="R462" s="325" t="s">
        <v>4221</v>
      </c>
    </row>
    <row r="463" spans="2:18">
      <c r="B463" s="182" t="str">
        <f t="shared" si="23"/>
        <v>STRONG 30N white Automatic</v>
      </c>
      <c r="M463" s="133" t="s">
        <v>600</v>
      </c>
      <c r="N463" s="133" t="s">
        <v>722</v>
      </c>
      <c r="O463" s="133" t="s">
        <v>723</v>
      </c>
      <c r="P463" s="133" t="s">
        <v>724</v>
      </c>
      <c r="Q463" s="133" t="s">
        <v>919</v>
      </c>
      <c r="R463" s="325" t="s">
        <v>3999</v>
      </c>
    </row>
    <row r="464" spans="2:18">
      <c r="B464" s="182" t="str">
        <f t="shared" si="23"/>
        <v>STRONG 60N white Automatic</v>
      </c>
      <c r="M464" s="133" t="s">
        <v>601</v>
      </c>
      <c r="N464" s="133" t="s">
        <v>725</v>
      </c>
      <c r="O464" s="133" t="s">
        <v>726</v>
      </c>
      <c r="P464" s="133" t="s">
        <v>727</v>
      </c>
      <c r="Q464" s="133" t="s">
        <v>920</v>
      </c>
      <c r="R464" s="325" t="s">
        <v>4000</v>
      </c>
    </row>
    <row r="465" spans="2:18">
      <c r="B465" s="182" t="str">
        <f t="shared" si="23"/>
        <v>STRONG 80N white Automatic</v>
      </c>
      <c r="M465" s="133" t="s">
        <v>602</v>
      </c>
      <c r="N465" s="133" t="s">
        <v>728</v>
      </c>
      <c r="O465" s="133" t="s">
        <v>729</v>
      </c>
      <c r="P465" s="133" t="s">
        <v>730</v>
      </c>
      <c r="Q465" s="133" t="s">
        <v>921</v>
      </c>
      <c r="R465" s="325" t="s">
        <v>4001</v>
      </c>
    </row>
    <row r="466" spans="2:18">
      <c r="B466" s="182" t="str">
        <f t="shared" si="23"/>
        <v>STRONG 100N white Automatic</v>
      </c>
      <c r="M466" s="133" t="s">
        <v>603</v>
      </c>
      <c r="N466" s="133" t="s">
        <v>731</v>
      </c>
      <c r="O466" s="133" t="s">
        <v>732</v>
      </c>
      <c r="P466" s="133" t="s">
        <v>733</v>
      </c>
      <c r="Q466" s="133" t="s">
        <v>922</v>
      </c>
      <c r="R466" s="325" t="s">
        <v>4002</v>
      </c>
    </row>
    <row r="467" spans="2:18">
      <c r="B467" s="182" t="str">
        <f t="shared" si="23"/>
        <v>STRONG 120N white Automatic</v>
      </c>
      <c r="M467" s="133" t="s">
        <v>604</v>
      </c>
      <c r="N467" s="133" t="s">
        <v>734</v>
      </c>
      <c r="O467" s="133" t="s">
        <v>735</v>
      </c>
      <c r="P467" s="133" t="s">
        <v>736</v>
      </c>
      <c r="Q467" s="133" t="s">
        <v>923</v>
      </c>
      <c r="R467" s="325" t="s">
        <v>4003</v>
      </c>
    </row>
    <row r="468" spans="2:18">
      <c r="B468" s="182" t="str">
        <f t="shared" si="23"/>
        <v>STRONG 60N white Free-stop</v>
      </c>
      <c r="M468" s="133" t="s">
        <v>605</v>
      </c>
      <c r="N468" s="133" t="s">
        <v>737</v>
      </c>
      <c r="O468" s="133" t="s">
        <v>738</v>
      </c>
      <c r="P468" s="133" t="s">
        <v>739</v>
      </c>
      <c r="Q468" s="133" t="s">
        <v>1545</v>
      </c>
      <c r="R468" s="325" t="s">
        <v>4004</v>
      </c>
    </row>
    <row r="469" spans="2:18">
      <c r="B469" s="182" t="str">
        <f t="shared" si="23"/>
        <v>STRONG 80N white Free-stop</v>
      </c>
      <c r="M469" s="133" t="s">
        <v>606</v>
      </c>
      <c r="N469" s="133" t="s">
        <v>740</v>
      </c>
      <c r="O469" s="133" t="s">
        <v>741</v>
      </c>
      <c r="P469" s="133" t="s">
        <v>742</v>
      </c>
      <c r="Q469" s="133" t="s">
        <v>1546</v>
      </c>
      <c r="R469" s="325" t="s">
        <v>4005</v>
      </c>
    </row>
    <row r="470" spans="2:18">
      <c r="B470" s="182" t="str">
        <f t="shared" si="23"/>
        <v>STRONG 100N white Free-stop</v>
      </c>
      <c r="M470" s="133" t="s">
        <v>607</v>
      </c>
      <c r="N470" s="133" t="s">
        <v>743</v>
      </c>
      <c r="O470" s="133" t="s">
        <v>744</v>
      </c>
      <c r="P470" s="133" t="s">
        <v>745</v>
      </c>
      <c r="Q470" s="133" t="s">
        <v>1547</v>
      </c>
      <c r="R470" s="325" t="s">
        <v>4006</v>
      </c>
    </row>
    <row r="471" spans="2:18">
      <c r="B471" s="182" t="str">
        <f t="shared" si="23"/>
        <v>STRONG 120N white Free-stop</v>
      </c>
      <c r="M471" s="133" t="s">
        <v>608</v>
      </c>
      <c r="N471" s="133" t="s">
        <v>746</v>
      </c>
      <c r="O471" s="133" t="s">
        <v>747</v>
      </c>
      <c r="P471" s="133" t="s">
        <v>748</v>
      </c>
      <c r="Q471" s="133" t="s">
        <v>1548</v>
      </c>
      <c r="R471" s="325" t="s">
        <v>4007</v>
      </c>
    </row>
    <row r="472" spans="2:18">
      <c r="B472" s="182" t="str">
        <f t="shared" si="23"/>
        <v>STRONG 30N Gray Automatic</v>
      </c>
      <c r="M472" s="133" t="s">
        <v>609</v>
      </c>
      <c r="N472" s="133" t="s">
        <v>609</v>
      </c>
      <c r="O472" s="133" t="s">
        <v>749</v>
      </c>
      <c r="P472" s="133" t="s">
        <v>750</v>
      </c>
      <c r="Q472" s="133" t="s">
        <v>1388</v>
      </c>
      <c r="R472" s="325" t="s">
        <v>4008</v>
      </c>
    </row>
    <row r="473" spans="2:18">
      <c r="B473" s="182" t="str">
        <f t="shared" si="23"/>
        <v>STRONG 60N grey Automatic</v>
      </c>
      <c r="M473" s="133" t="s">
        <v>610</v>
      </c>
      <c r="N473" s="133" t="s">
        <v>610</v>
      </c>
      <c r="O473" s="133" t="s">
        <v>751</v>
      </c>
      <c r="P473" s="133" t="s">
        <v>752</v>
      </c>
      <c r="Q473" s="133" t="s">
        <v>924</v>
      </c>
      <c r="R473" s="325" t="s">
        <v>4009</v>
      </c>
    </row>
    <row r="474" spans="2:18">
      <c r="B474" s="182" t="str">
        <f t="shared" si="23"/>
        <v>STRONG 80N Gray Automatic</v>
      </c>
      <c r="M474" s="133" t="s">
        <v>611</v>
      </c>
      <c r="N474" s="133" t="s">
        <v>611</v>
      </c>
      <c r="O474" s="133" t="s">
        <v>753</v>
      </c>
      <c r="P474" s="133" t="s">
        <v>754</v>
      </c>
      <c r="Q474" s="133" t="s">
        <v>1389</v>
      </c>
      <c r="R474" s="325" t="s">
        <v>4010</v>
      </c>
    </row>
    <row r="475" spans="2:18">
      <c r="B475" s="182" t="str">
        <f t="shared" si="23"/>
        <v>STRONG 100N grey Automatic</v>
      </c>
      <c r="M475" s="133" t="s">
        <v>612</v>
      </c>
      <c r="N475" s="133" t="s">
        <v>612</v>
      </c>
      <c r="O475" s="133" t="s">
        <v>755</v>
      </c>
      <c r="P475" s="133" t="s">
        <v>756</v>
      </c>
      <c r="Q475" s="133" t="s">
        <v>925</v>
      </c>
      <c r="R475" s="325" t="s">
        <v>4011</v>
      </c>
    </row>
    <row r="476" spans="2:18">
      <c r="B476" s="182" t="str">
        <f t="shared" si="23"/>
        <v>STRONG 120N grey Automatic</v>
      </c>
      <c r="M476" s="133" t="s">
        <v>613</v>
      </c>
      <c r="N476" s="133" t="s">
        <v>613</v>
      </c>
      <c r="O476" s="133" t="s">
        <v>757</v>
      </c>
      <c r="P476" s="133" t="s">
        <v>758</v>
      </c>
      <c r="Q476" s="133" t="s">
        <v>926</v>
      </c>
      <c r="R476" s="325" t="s">
        <v>4012</v>
      </c>
    </row>
    <row r="477" spans="2:18">
      <c r="B477" s="182" t="str">
        <f t="shared" si="23"/>
        <v>STRONG 60N grey Free-stop</v>
      </c>
      <c r="M477" s="133" t="s">
        <v>614</v>
      </c>
      <c r="N477" s="133" t="s">
        <v>614</v>
      </c>
      <c r="O477" s="133" t="s">
        <v>759</v>
      </c>
      <c r="P477" s="133" t="s">
        <v>760</v>
      </c>
      <c r="Q477" s="133" t="s">
        <v>1549</v>
      </c>
      <c r="R477" s="325" t="s">
        <v>4013</v>
      </c>
    </row>
    <row r="478" spans="2:18">
      <c r="B478" s="182" t="str">
        <f t="shared" si="23"/>
        <v>STRONG 80N grey Free-stop</v>
      </c>
      <c r="M478" s="133" t="s">
        <v>615</v>
      </c>
      <c r="N478" s="133" t="s">
        <v>615</v>
      </c>
      <c r="O478" s="133" t="s">
        <v>761</v>
      </c>
      <c r="P478" s="133" t="s">
        <v>762</v>
      </c>
      <c r="Q478" s="133" t="s">
        <v>1550</v>
      </c>
      <c r="R478" s="325" t="s">
        <v>4014</v>
      </c>
    </row>
    <row r="479" spans="2:18">
      <c r="B479" s="182" t="str">
        <f t="shared" si="23"/>
        <v>STRONG 100N grey Free-stop</v>
      </c>
      <c r="M479" s="133" t="s">
        <v>616</v>
      </c>
      <c r="N479" s="133" t="s">
        <v>616</v>
      </c>
      <c r="O479" s="133" t="s">
        <v>763</v>
      </c>
      <c r="P479" s="133" t="s">
        <v>764</v>
      </c>
      <c r="Q479" s="133" t="s">
        <v>1551</v>
      </c>
      <c r="R479" s="325" t="s">
        <v>4015</v>
      </c>
    </row>
    <row r="480" spans="2:18">
      <c r="B480" s="182" t="str">
        <f t="shared" si="23"/>
        <v>STRONG 120N Gray Positioning</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drop-downwhite</v>
      </c>
      <c r="M501" s="133" t="s">
        <v>629</v>
      </c>
      <c r="N501" s="133" t="s">
        <v>767</v>
      </c>
      <c r="O501" s="133" t="s">
        <v>768</v>
      </c>
      <c r="P501" s="133" t="s">
        <v>769</v>
      </c>
      <c r="Q501" s="133" t="s">
        <v>1552</v>
      </c>
      <c r="R501" s="325" t="s">
        <v>4217</v>
      </c>
    </row>
    <row r="502" spans="2:18">
      <c r="B502" s="182" t="str">
        <f t="shared" si="24"/>
        <v>STRONG drop-downgrey</v>
      </c>
      <c r="M502" s="133" t="s">
        <v>630</v>
      </c>
      <c r="N502" s="133" t="s">
        <v>770</v>
      </c>
      <c r="O502" s="133" t="s">
        <v>771</v>
      </c>
      <c r="P502" s="133" t="s">
        <v>772</v>
      </c>
      <c r="Q502" s="133" t="s">
        <v>1553</v>
      </c>
      <c r="R502" s="325" t="s">
        <v>4222</v>
      </c>
    </row>
    <row r="503" spans="2:18">
      <c r="B503" s="182" t="str">
        <f t="shared" si="24"/>
        <v>HUWIL DUO (90°)</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CARTON 164 Bottom</v>
      </c>
      <c r="M505" s="133" t="s">
        <v>632</v>
      </c>
      <c r="N505" s="133" t="s">
        <v>773</v>
      </c>
      <c r="O505" s="133" t="s">
        <v>774</v>
      </c>
      <c r="P505" s="133" t="s">
        <v>775</v>
      </c>
      <c r="Q505" s="133" t="s">
        <v>1391</v>
      </c>
      <c r="R505" s="325" t="s">
        <v>4219</v>
      </c>
    </row>
    <row r="506" spans="2:18">
      <c r="B506" s="182" t="str">
        <f t="shared" si="24"/>
        <v>CARTON 244 Bottom</v>
      </c>
      <c r="M506" s="133" t="s">
        <v>633</v>
      </c>
      <c r="N506" s="133" t="s">
        <v>776</v>
      </c>
      <c r="O506" s="133" t="s">
        <v>777</v>
      </c>
      <c r="P506" s="133" t="s">
        <v>778</v>
      </c>
      <c r="Q506" s="133" t="s">
        <v>1392</v>
      </c>
      <c r="R506" s="325" t="s">
        <v>4220</v>
      </c>
    </row>
    <row r="507" spans="2:18">
      <c r="B507" s="182" t="str">
        <f t="shared" si="24"/>
        <v>CARTON 355 Bottom</v>
      </c>
      <c r="M507" s="133" t="s">
        <v>634</v>
      </c>
      <c r="N507" s="133" t="s">
        <v>779</v>
      </c>
      <c r="O507" s="133" t="s">
        <v>780</v>
      </c>
      <c r="P507" s="133" t="s">
        <v>781</v>
      </c>
      <c r="Q507" s="133" t="s">
        <v>1393</v>
      </c>
      <c r="R507" s="325" t="s">
        <v>4221</v>
      </c>
    </row>
    <row r="508" spans="2:18">
      <c r="B508" s="182" t="str">
        <f t="shared" si="24"/>
        <v>Slide-on H0 for screw fixing</v>
      </c>
      <c r="M508" s="133" t="s">
        <v>640</v>
      </c>
      <c r="N508" s="133" t="s">
        <v>782</v>
      </c>
      <c r="O508" s="133" t="s">
        <v>783</v>
      </c>
      <c r="P508" s="133" t="s">
        <v>1282</v>
      </c>
      <c r="Q508" s="133" t="s">
        <v>1554</v>
      </c>
      <c r="R508" s="325" t="s">
        <v>4223</v>
      </c>
    </row>
    <row r="509" spans="2:18">
      <c r="B509" s="182" t="str">
        <f t="shared" si="24"/>
        <v>Slide-on H0 for Euro-screw fixing</v>
      </c>
      <c r="M509" s="133" t="s">
        <v>641</v>
      </c>
      <c r="N509" s="133" t="s">
        <v>784</v>
      </c>
      <c r="O509" s="133" t="s">
        <v>785</v>
      </c>
      <c r="P509" s="133" t="s">
        <v>1283</v>
      </c>
      <c r="Q509" s="133" t="s">
        <v>1555</v>
      </c>
      <c r="R509" s="325" t="s">
        <v>4224</v>
      </c>
    </row>
    <row r="510" spans="2:18">
      <c r="B510" s="182" t="str">
        <f t="shared" si="24"/>
        <v>Slide-on H2 for screw fixing</v>
      </c>
      <c r="M510" s="133" t="s">
        <v>642</v>
      </c>
      <c r="N510" s="133" t="s">
        <v>786</v>
      </c>
      <c r="O510" s="133" t="s">
        <v>787</v>
      </c>
      <c r="P510" s="133" t="s">
        <v>788</v>
      </c>
      <c r="Q510" s="133" t="s">
        <v>1556</v>
      </c>
      <c r="R510" s="325" t="s">
        <v>4225</v>
      </c>
    </row>
    <row r="511" spans="2:18">
      <c r="B511" s="182" t="str">
        <f t="shared" si="24"/>
        <v>Slide-on H2 for Euro-screw fixing</v>
      </c>
      <c r="M511" s="133" t="s">
        <v>643</v>
      </c>
      <c r="N511" s="133" t="s">
        <v>789</v>
      </c>
      <c r="O511" s="133" t="s">
        <v>790</v>
      </c>
      <c r="P511" s="133" t="s">
        <v>1284</v>
      </c>
      <c r="Q511" s="133" t="s">
        <v>1557</v>
      </c>
      <c r="R511" s="325" t="s">
        <v>4226</v>
      </c>
    </row>
    <row r="512" spans="2:18">
      <c r="B512" s="182" t="str">
        <f t="shared" si="24"/>
        <v>Clip on plate H2 for screws fixing</v>
      </c>
      <c r="M512" s="133" t="s">
        <v>87</v>
      </c>
      <c r="N512" s="133" t="s">
        <v>164</v>
      </c>
      <c r="O512" s="133" t="s">
        <v>225</v>
      </c>
      <c r="P512" s="133" t="s">
        <v>288</v>
      </c>
      <c r="Q512" s="133" t="s">
        <v>1455</v>
      </c>
      <c r="R512" s="325" t="s">
        <v>4227</v>
      </c>
    </row>
    <row r="513" spans="2:18">
      <c r="B513" s="182" t="str">
        <f t="shared" si="24"/>
        <v>Clip-on H0 for screw fixing with excenter</v>
      </c>
      <c r="M513" s="133" t="s">
        <v>644</v>
      </c>
      <c r="N513" s="133" t="s">
        <v>791</v>
      </c>
      <c r="O513" s="133" t="s">
        <v>792</v>
      </c>
      <c r="P513" s="133" t="s">
        <v>842</v>
      </c>
      <c r="Q513" s="133" t="s">
        <v>1558</v>
      </c>
      <c r="R513" s="325" t="s">
        <v>4228</v>
      </c>
    </row>
    <row r="514" spans="2:18">
      <c r="B514" s="182" t="str">
        <f t="shared" si="24"/>
        <v>Clip-on H0 for screw fixing</v>
      </c>
      <c r="M514" s="133" t="s">
        <v>85</v>
      </c>
      <c r="N514" s="133" t="s">
        <v>180</v>
      </c>
      <c r="O514" s="133" t="s">
        <v>241</v>
      </c>
      <c r="P514" s="133" t="s">
        <v>304</v>
      </c>
      <c r="Q514" s="133" t="s">
        <v>1474</v>
      </c>
      <c r="R514" s="325" t="s">
        <v>4229</v>
      </c>
    </row>
    <row r="515" spans="2:18">
      <c r="B515" s="182" t="str">
        <f t="shared" si="24"/>
        <v>The minimum possible frame size is 140x140mm</v>
      </c>
      <c r="M515" s="133" t="s">
        <v>796</v>
      </c>
      <c r="N515" s="133" t="s">
        <v>797</v>
      </c>
      <c r="O515" s="133" t="s">
        <v>798</v>
      </c>
      <c r="P515" s="133" t="s">
        <v>799</v>
      </c>
      <c r="Q515" s="133" t="s">
        <v>927</v>
      </c>
      <c r="R515" s="325" t="s">
        <v>4017</v>
      </c>
    </row>
    <row r="516" spans="2:18">
      <c r="B516" s="182" t="str">
        <f t="shared" si="24"/>
        <v>Sensys SiSy Overlay</v>
      </c>
      <c r="M516" s="156" t="s">
        <v>800</v>
      </c>
      <c r="N516" s="133" t="s">
        <v>800</v>
      </c>
      <c r="O516" s="133" t="s">
        <v>815</v>
      </c>
      <c r="P516" s="133" t="s">
        <v>816</v>
      </c>
      <c r="Q516" s="133" t="s">
        <v>1559</v>
      </c>
      <c r="R516" s="325" t="s">
        <v>4230</v>
      </c>
    </row>
    <row r="517" spans="2:18">
      <c r="B517" s="182" t="str">
        <f t="shared" si="24"/>
        <v>Sensys SiSy Half-Overlay</v>
      </c>
      <c r="M517" s="156" t="s">
        <v>801</v>
      </c>
      <c r="N517" s="133" t="s">
        <v>801</v>
      </c>
      <c r="O517" s="133" t="s">
        <v>823</v>
      </c>
      <c r="P517" s="133" t="s">
        <v>1285</v>
      </c>
      <c r="Q517" s="133" t="s">
        <v>1560</v>
      </c>
      <c r="R517" s="325" t="s">
        <v>4231</v>
      </c>
    </row>
    <row r="518" spans="2:18">
      <c r="B518" s="182" t="str">
        <f t="shared" si="24"/>
        <v>Sensys SiSy Inset</v>
      </c>
      <c r="M518" s="156" t="s">
        <v>802</v>
      </c>
      <c r="N518" s="133" t="s">
        <v>835</v>
      </c>
      <c r="O518" s="133" t="s">
        <v>836</v>
      </c>
      <c r="P518" s="133" t="s">
        <v>1286</v>
      </c>
      <c r="Q518" s="133" t="s">
        <v>1561</v>
      </c>
      <c r="R518" s="325" t="s">
        <v>4232</v>
      </c>
    </row>
    <row r="519" spans="2:18">
      <c r="B519" s="182" t="str">
        <f t="shared" si="24"/>
        <v>Sensys P2o Overlay</v>
      </c>
      <c r="M519" s="156" t="s">
        <v>803</v>
      </c>
      <c r="N519" s="133" t="s">
        <v>803</v>
      </c>
      <c r="O519" s="133" t="s">
        <v>817</v>
      </c>
      <c r="P519" s="133" t="s">
        <v>818</v>
      </c>
      <c r="Q519" s="133" t="s">
        <v>1562</v>
      </c>
      <c r="R519" s="325" t="s">
        <v>4233</v>
      </c>
    </row>
    <row r="520" spans="2:18">
      <c r="B520" s="182" t="str">
        <f t="shared" si="24"/>
        <v>Sensys P2o Half-Overlay</v>
      </c>
      <c r="M520" s="156" t="s">
        <v>804</v>
      </c>
      <c r="N520" s="133" t="s">
        <v>804</v>
      </c>
      <c r="O520" s="133" t="s">
        <v>824</v>
      </c>
      <c r="P520" s="133" t="s">
        <v>1287</v>
      </c>
      <c r="Q520" s="133" t="s">
        <v>1563</v>
      </c>
      <c r="R520" s="325" t="s">
        <v>4234</v>
      </c>
    </row>
    <row r="521" spans="2:18">
      <c r="B521" s="182" t="str">
        <f t="shared" si="24"/>
        <v>Sensys P2o Inset</v>
      </c>
      <c r="M521" s="156" t="s">
        <v>805</v>
      </c>
      <c r="N521" s="133" t="s">
        <v>837</v>
      </c>
      <c r="O521" s="133" t="s">
        <v>838</v>
      </c>
      <c r="P521" s="133" t="s">
        <v>1288</v>
      </c>
      <c r="Q521" s="133" t="s">
        <v>1564</v>
      </c>
      <c r="R521" s="325" t="s">
        <v>4235</v>
      </c>
    </row>
    <row r="522" spans="2:18">
      <c r="B522" s="182" t="str">
        <f t="shared" si="24"/>
        <v>Sensys Overlay with P2O</v>
      </c>
      <c r="M522" s="156" t="s">
        <v>806</v>
      </c>
      <c r="N522" s="133" t="s">
        <v>803</v>
      </c>
      <c r="O522" s="133" t="s">
        <v>817</v>
      </c>
      <c r="P522" s="133" t="s">
        <v>818</v>
      </c>
      <c r="Q522" s="133" t="s">
        <v>1565</v>
      </c>
      <c r="R522" s="325" t="s">
        <v>4018</v>
      </c>
    </row>
    <row r="523" spans="2:18">
      <c r="B523" s="182" t="str">
        <f t="shared" si="24"/>
        <v>Overlay with 110° soft-closing clip-on, ONYX</v>
      </c>
      <c r="M523" s="133" t="s">
        <v>807</v>
      </c>
      <c r="N523" s="133" t="s">
        <v>819</v>
      </c>
      <c r="O523" s="133" t="s">
        <v>820</v>
      </c>
      <c r="P523" s="133" t="s">
        <v>833</v>
      </c>
      <c r="Q523" s="133" t="s">
        <v>1566</v>
      </c>
      <c r="R523" s="325" t="s">
        <v>4019</v>
      </c>
    </row>
    <row r="524" spans="2:18">
      <c r="B524" s="182" t="str">
        <f t="shared" si="24"/>
        <v>Half-Overlay with 110° soft-closing clip-on, ONYX</v>
      </c>
      <c r="M524" s="133" t="s">
        <v>808</v>
      </c>
      <c r="N524" s="133" t="s">
        <v>821</v>
      </c>
      <c r="O524" s="133" t="s">
        <v>822</v>
      </c>
      <c r="P524" s="133" t="s">
        <v>1289</v>
      </c>
      <c r="Q524" s="133" t="s">
        <v>1567</v>
      </c>
      <c r="R524" s="325" t="s">
        <v>4020</v>
      </c>
    </row>
    <row r="525" spans="2:18">
      <c r="B525" s="182" t="str">
        <f t="shared" si="24"/>
        <v>Inset with 110° clip-on soft-closing, ONYX</v>
      </c>
      <c r="M525" s="133" t="s">
        <v>809</v>
      </c>
      <c r="N525" s="133" t="s">
        <v>839</v>
      </c>
      <c r="O525" s="133" t="s">
        <v>840</v>
      </c>
      <c r="P525" s="133" t="s">
        <v>1290</v>
      </c>
      <c r="Q525" s="133" t="s">
        <v>1568</v>
      </c>
      <c r="R525" s="325" t="s">
        <v>4021</v>
      </c>
    </row>
    <row r="526" spans="2:18">
      <c r="B526" s="182" t="str">
        <f t="shared" si="24"/>
        <v>Overlay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StrongHinges S3 Overlay clip-on without spring</v>
      </c>
      <c r="M528" s="133" t="s">
        <v>2402</v>
      </c>
      <c r="N528" s="133" t="s">
        <v>2403</v>
      </c>
      <c r="O528" s="133" t="s">
        <v>2404</v>
      </c>
      <c r="P528" s="133" t="s">
        <v>2405</v>
      </c>
      <c r="Q528" s="133" t="s">
        <v>2406</v>
      </c>
      <c r="R528" s="325" t="s">
        <v>4236</v>
      </c>
    </row>
    <row r="529" spans="2:18">
      <c r="B529" s="182" t="str">
        <f t="shared" si="24"/>
        <v>StrongHinges S3 Overlay clip-on without spring</v>
      </c>
      <c r="M529" s="133" t="s">
        <v>2402</v>
      </c>
      <c r="N529" s="133" t="s">
        <v>2407</v>
      </c>
      <c r="O529" s="133" t="s">
        <v>2404</v>
      </c>
      <c r="P529" s="133" t="s">
        <v>2405</v>
      </c>
      <c r="Q529" s="133" t="s">
        <v>2406</v>
      </c>
      <c r="R529" s="325" t="s">
        <v>4236</v>
      </c>
    </row>
    <row r="530" spans="2:18">
      <c r="B530" s="182" t="str">
        <f t="shared" si="24"/>
        <v>StorngHinges inserted clip-on without spring</v>
      </c>
      <c r="M530" s="133" t="s">
        <v>2368</v>
      </c>
      <c r="N530" s="133" t="s">
        <v>2408</v>
      </c>
      <c r="O530" s="133" t="s">
        <v>2409</v>
      </c>
      <c r="P530" s="133" t="s">
        <v>2410</v>
      </c>
      <c r="Q530" s="133" t="s">
        <v>2369</v>
      </c>
      <c r="R530" s="325" t="s">
        <v>4237</v>
      </c>
    </row>
    <row r="531" spans="2:18">
      <c r="B531" s="182" t="str">
        <f t="shared" si="24"/>
        <v>StrongHinges S3 30° clip-on without spring</v>
      </c>
      <c r="M531" s="133" t="s">
        <v>2411</v>
      </c>
      <c r="N531" s="133" t="s">
        <v>2412</v>
      </c>
      <c r="O531" s="133" t="s">
        <v>2413</v>
      </c>
      <c r="P531" s="133" t="s">
        <v>2414</v>
      </c>
      <c r="Q531" s="133" t="s">
        <v>2415</v>
      </c>
      <c r="R531" s="325" t="s">
        <v>4238</v>
      </c>
    </row>
    <row r="532" spans="2:18">
      <c r="B532" s="182" t="str">
        <f t="shared" si="24"/>
        <v>StrongHinges S3 Overlay clip-on</v>
      </c>
      <c r="M532" s="133" t="s">
        <v>2416</v>
      </c>
      <c r="N532" s="133" t="s">
        <v>2416</v>
      </c>
      <c r="O532" s="133" t="s">
        <v>2417</v>
      </c>
      <c r="P532" s="133" t="s">
        <v>2418</v>
      </c>
      <c r="Q532" s="133" t="s">
        <v>2419</v>
      </c>
      <c r="R532" s="325" t="s">
        <v>4239</v>
      </c>
    </row>
    <row r="533" spans="2:18">
      <c r="B533" s="182" t="str">
        <f t="shared" si="24"/>
        <v>StrongHinges S3 Half-Overlay clip-on</v>
      </c>
      <c r="M533" s="133" t="s">
        <v>2420</v>
      </c>
      <c r="N533" s="133" t="s">
        <v>2420</v>
      </c>
      <c r="O533" s="133" t="s">
        <v>2421</v>
      </c>
      <c r="P533" s="133" t="s">
        <v>2422</v>
      </c>
      <c r="Q533" s="133" t="s">
        <v>2423</v>
      </c>
      <c r="R533" s="325" t="s">
        <v>4240</v>
      </c>
    </row>
    <row r="534" spans="2:18">
      <c r="B534" s="182" t="str">
        <f t="shared" si="24"/>
        <v>StrongHinges S3 Inset clip-on</v>
      </c>
      <c r="M534" s="133" t="s">
        <v>2424</v>
      </c>
      <c r="N534" s="133" t="s">
        <v>2424</v>
      </c>
      <c r="O534" s="133" t="s">
        <v>2425</v>
      </c>
      <c r="P534" s="133" t="s">
        <v>2426</v>
      </c>
      <c r="Q534" s="133" t="s">
        <v>2427</v>
      </c>
      <c r="R534" s="325" t="s">
        <v>4241</v>
      </c>
    </row>
    <row r="535" spans="2:18">
      <c r="B535" s="182" t="str">
        <f t="shared" si="24"/>
        <v>StrongHinges S3 30°clip-on</v>
      </c>
      <c r="M535" s="133" t="s">
        <v>2428</v>
      </c>
      <c r="N535" s="133" t="s">
        <v>2428</v>
      </c>
      <c r="O535" s="133" t="s">
        <v>2428</v>
      </c>
      <c r="P535" s="133" t="s">
        <v>2428</v>
      </c>
      <c r="Q535" s="133" t="s">
        <v>2429</v>
      </c>
      <c r="R535" s="325" t="s">
        <v>4242</v>
      </c>
    </row>
    <row r="536" spans="2:18">
      <c r="B536" s="182" t="str">
        <f t="shared" si="24"/>
        <v>StrongHinges S3 Overlay clip-on</v>
      </c>
      <c r="M536" s="133" t="s">
        <v>2416</v>
      </c>
      <c r="N536" s="133" t="s">
        <v>2416</v>
      </c>
      <c r="O536" s="133" t="s">
        <v>2417</v>
      </c>
      <c r="P536" s="133" t="s">
        <v>2418</v>
      </c>
      <c r="Q536" s="133" t="s">
        <v>2419</v>
      </c>
      <c r="R536" s="325" t="s">
        <v>4239</v>
      </c>
    </row>
    <row r="537" spans="2:18">
      <c r="B537" s="182" t="str">
        <f t="shared" si="24"/>
        <v>StrongHinges S3 Overlay clip-on without spring</v>
      </c>
      <c r="M537" s="133" t="s">
        <v>2402</v>
      </c>
      <c r="N537" s="133" t="s">
        <v>2403</v>
      </c>
      <c r="O537" s="133" t="s">
        <v>2404</v>
      </c>
      <c r="P537" s="133" t="s">
        <v>2405</v>
      </c>
      <c r="Q537" s="133" t="s">
        <v>2406</v>
      </c>
      <c r="R537" s="325" t="s">
        <v>4236</v>
      </c>
    </row>
    <row r="538" spans="2:18">
      <c r="B538" s="182" t="str">
        <f t="shared" si="24"/>
        <v>StrongHinges S3 Clip-on H0 for screw with excenter</v>
      </c>
      <c r="M538" s="133" t="s">
        <v>2430</v>
      </c>
      <c r="N538" s="133" t="s">
        <v>2431</v>
      </c>
      <c r="O538" s="133" t="s">
        <v>2432</v>
      </c>
      <c r="P538" s="133" t="s">
        <v>2433</v>
      </c>
      <c r="Q538" s="133" t="s">
        <v>2434</v>
      </c>
      <c r="R538" s="325" t="s">
        <v>4243</v>
      </c>
    </row>
    <row r="539" spans="2:18">
      <c r="B539" s="182" t="str">
        <f t="shared" si="24"/>
        <v>StrongHinges S3 Clip-on H2 for screw with excenter</v>
      </c>
      <c r="M539" s="133" t="s">
        <v>2435</v>
      </c>
      <c r="N539" s="133" t="s">
        <v>2436</v>
      </c>
      <c r="O539" s="133" t="s">
        <v>2437</v>
      </c>
      <c r="P539" s="133" t="s">
        <v>2438</v>
      </c>
      <c r="Q539" s="133" t="s">
        <v>2439</v>
      </c>
      <c r="R539" s="325" t="s">
        <v>4023</v>
      </c>
    </row>
    <row r="540" spans="2:18">
      <c r="B540" s="182" t="str">
        <f t="shared" si="24"/>
        <v>Main page</v>
      </c>
      <c r="M540" s="133" t="s">
        <v>843</v>
      </c>
      <c r="N540" s="133" t="s">
        <v>843</v>
      </c>
      <c r="O540" s="133" t="s">
        <v>844</v>
      </c>
      <c r="P540" s="133" t="s">
        <v>1291</v>
      </c>
      <c r="Q540" s="133" t="s">
        <v>928</v>
      </c>
      <c r="R540" s="325" t="s">
        <v>4024</v>
      </c>
    </row>
    <row r="541" spans="2:18">
      <c r="B541" s="182" t="str">
        <f t="shared" si="24"/>
        <v>The maximum possible dimension of Corleone frame is 1500x600mm</v>
      </c>
      <c r="M541" s="175" t="s">
        <v>851</v>
      </c>
      <c r="N541" s="133" t="s">
        <v>852</v>
      </c>
      <c r="O541" s="133" t="s">
        <v>853</v>
      </c>
      <c r="P541" s="133" t="s">
        <v>854</v>
      </c>
      <c r="Q541" s="133" t="s">
        <v>1570</v>
      </c>
      <c r="R541" s="325" t="s">
        <v>4025</v>
      </c>
    </row>
    <row r="542" spans="2:18">
      <c r="B542" s="182" t="str">
        <f t="shared" si="24"/>
        <v>Combination of 2 Profiles</v>
      </c>
      <c r="M542" s="133" t="s">
        <v>1005</v>
      </c>
      <c r="N542" s="133" t="s">
        <v>1114</v>
      </c>
      <c r="O542" s="133" t="s">
        <v>1115</v>
      </c>
      <c r="P542" s="133" t="s">
        <v>1116</v>
      </c>
      <c r="Q542" s="133" t="s">
        <v>1571</v>
      </c>
      <c r="R542" s="325" t="s">
        <v>4026</v>
      </c>
    </row>
    <row r="543" spans="2:18">
      <c r="B543" s="182" t="str">
        <f t="shared" si="24"/>
        <v>Dividing bars</v>
      </c>
      <c r="M543" s="133" t="s">
        <v>1117</v>
      </c>
      <c r="N543" s="133" t="s">
        <v>1119</v>
      </c>
      <c r="O543" s="133" t="s">
        <v>932</v>
      </c>
      <c r="P543" s="133" t="s">
        <v>1118</v>
      </c>
      <c r="Q543" s="133" t="s">
        <v>1394</v>
      </c>
      <c r="R543" s="325" t="s">
        <v>4027</v>
      </c>
    </row>
    <row r="544" spans="2:18">
      <c r="B544" s="182" t="str">
        <f t="shared" si="24"/>
        <v>Fittings brand</v>
      </c>
      <c r="M544" s="133" t="s">
        <v>1007</v>
      </c>
      <c r="N544" s="133" t="s">
        <v>1120</v>
      </c>
      <c r="O544" s="133" t="s">
        <v>1121</v>
      </c>
      <c r="P544" s="133" t="s">
        <v>1292</v>
      </c>
      <c r="Q544" s="133" t="s">
        <v>1409</v>
      </c>
      <c r="R544" s="325" t="s">
        <v>4028</v>
      </c>
    </row>
    <row r="545" spans="2:18">
      <c r="B545" s="182" t="str">
        <f t="shared" si="24"/>
        <v>Fittings variant</v>
      </c>
      <c r="M545" s="133" t="s">
        <v>1008</v>
      </c>
      <c r="N545" s="133" t="s">
        <v>1123</v>
      </c>
      <c r="O545" s="133" t="s">
        <v>1122</v>
      </c>
      <c r="P545" s="133" t="s">
        <v>1293</v>
      </c>
      <c r="Q545" s="133" t="s">
        <v>1408</v>
      </c>
      <c r="R545" s="325" t="s">
        <v>4029</v>
      </c>
    </row>
    <row r="546" spans="2:18">
      <c r="B546" s="182" t="str">
        <f t="shared" si="24"/>
        <v>Loading</v>
      </c>
      <c r="M546" s="133" t="s">
        <v>1107</v>
      </c>
      <c r="N546" s="133" t="s">
        <v>1124</v>
      </c>
      <c r="O546" s="133" t="s">
        <v>1316</v>
      </c>
      <c r="P546" s="133" t="s">
        <v>1125</v>
      </c>
      <c r="Q546" s="133" t="s">
        <v>1395</v>
      </c>
      <c r="R546" s="325" t="s">
        <v>4030</v>
      </c>
    </row>
    <row r="547" spans="2:18">
      <c r="B547" s="182" t="str">
        <f t="shared" si="24"/>
        <v>Hinges for lift-up mechanisms</v>
      </c>
      <c r="M547" s="133" t="s">
        <v>2330</v>
      </c>
      <c r="N547" s="133" t="s">
        <v>1126</v>
      </c>
      <c r="O547" s="133" t="s">
        <v>1317</v>
      </c>
      <c r="P547" s="133" t="s">
        <v>1294</v>
      </c>
      <c r="Q547" s="133" t="s">
        <v>1572</v>
      </c>
      <c r="R547" s="325" t="s">
        <v>4031</v>
      </c>
    </row>
    <row r="548" spans="2:18">
      <c r="B548" s="182" t="str">
        <f t="shared" si="24"/>
        <v>Pitch</v>
      </c>
      <c r="M548" s="133" t="s">
        <v>1129</v>
      </c>
      <c r="N548" s="133" t="s">
        <v>1129</v>
      </c>
      <c r="O548" s="133" t="s">
        <v>1130</v>
      </c>
      <c r="P548" s="133" t="s">
        <v>1131</v>
      </c>
      <c r="Q548" s="133" t="s">
        <v>1396</v>
      </c>
      <c r="R548" s="325" t="s">
        <v>4032</v>
      </c>
    </row>
    <row r="549" spans="2:18">
      <c r="B549" s="182" t="str">
        <f t="shared" si="24"/>
        <v>Handle diameter (mm)</v>
      </c>
      <c r="M549" s="133" t="s">
        <v>1341</v>
      </c>
      <c r="N549" s="133" t="s">
        <v>1342</v>
      </c>
      <c r="O549" s="133" t="s">
        <v>1343</v>
      </c>
      <c r="P549" s="133" t="s">
        <v>1344</v>
      </c>
      <c r="Q549" s="133" t="s">
        <v>1411</v>
      </c>
      <c r="R549" s="325" t="s">
        <v>4033</v>
      </c>
    </row>
    <row r="550" spans="2:18">
      <c r="B550" s="182" t="str">
        <f t="shared" si="24"/>
        <v>Handle position</v>
      </c>
      <c r="M550" s="133" t="s">
        <v>1031</v>
      </c>
      <c r="N550" s="133" t="s">
        <v>1127</v>
      </c>
      <c r="O550" s="133" t="s">
        <v>1318</v>
      </c>
      <c r="P550" s="133" t="s">
        <v>1128</v>
      </c>
      <c r="Q550" s="133" t="s">
        <v>1412</v>
      </c>
      <c r="R550" s="325" t="s">
        <v>4034</v>
      </c>
    </row>
    <row r="551" spans="2:18">
      <c r="B551" s="182" t="str">
        <f t="shared" si="24"/>
        <v>Hinges</v>
      </c>
      <c r="M551" s="133" t="s">
        <v>399</v>
      </c>
      <c r="N551" s="133" t="s">
        <v>400</v>
      </c>
      <c r="O551" s="133" t="s">
        <v>401</v>
      </c>
      <c r="P551" s="133" t="s">
        <v>402</v>
      </c>
      <c r="Q551" s="133" t="s">
        <v>1444</v>
      </c>
      <c r="R551" s="325" t="s">
        <v>3833</v>
      </c>
    </row>
    <row r="552" spans="2:18">
      <c r="B552" s="182" t="str">
        <f t="shared" si="24"/>
        <v>Lifts</v>
      </c>
      <c r="M552" s="133" t="s">
        <v>599</v>
      </c>
      <c r="N552" s="133" t="s">
        <v>599</v>
      </c>
      <c r="O552" s="133" t="s">
        <v>1143</v>
      </c>
      <c r="P552" s="133" t="s">
        <v>1144</v>
      </c>
      <c r="Q552" s="133" t="s">
        <v>1573</v>
      </c>
      <c r="R552" s="325" t="s">
        <v>4035</v>
      </c>
    </row>
    <row r="553" spans="2:18">
      <c r="B553" s="182" t="str">
        <f t="shared" si="24"/>
        <v>Overlay</v>
      </c>
      <c r="M553" s="175" t="s">
        <v>68</v>
      </c>
      <c r="N553" s="133" t="s">
        <v>68</v>
      </c>
      <c r="O553" s="133" t="s">
        <v>220</v>
      </c>
      <c r="P553" s="133" t="s">
        <v>284</v>
      </c>
      <c r="Q553" s="133" t="s">
        <v>1595</v>
      </c>
      <c r="R553" s="325" t="s">
        <v>3843</v>
      </c>
    </row>
    <row r="554" spans="2:18">
      <c r="B554" s="182" t="str">
        <f t="shared" ref="B554:B567" si="25">IF($D$1=1,M554,IF($D$1=2,N554,IF($D$1=3,O554,IF($D$1=4,P554,IF($D$1=5,Q554,IF($D$1=6,R554,0))))))</f>
        <v>Half-overlay</v>
      </c>
      <c r="M554" s="175" t="s">
        <v>69</v>
      </c>
      <c r="N554" s="133" t="s">
        <v>69</v>
      </c>
      <c r="O554" s="133" t="s">
        <v>221</v>
      </c>
      <c r="P554" s="133" t="s">
        <v>1244</v>
      </c>
      <c r="Q554" s="133" t="s">
        <v>1452</v>
      </c>
      <c r="R554" s="325" t="s">
        <v>4036</v>
      </c>
    </row>
    <row r="555" spans="2:18">
      <c r="B555" s="182" t="str">
        <f t="shared" si="25"/>
        <v>Inset</v>
      </c>
      <c r="M555" s="175" t="s">
        <v>70</v>
      </c>
      <c r="N555" s="133" t="s">
        <v>70</v>
      </c>
      <c r="O555" s="133" t="s">
        <v>1145</v>
      </c>
      <c r="P555" s="133" t="s">
        <v>1245</v>
      </c>
      <c r="Q555" s="133" t="s">
        <v>905</v>
      </c>
      <c r="R555" s="325" t="s">
        <v>4037</v>
      </c>
    </row>
    <row r="556" spans="2:18">
      <c r="B556" s="182" t="str">
        <f t="shared" si="25"/>
        <v>Yes</v>
      </c>
      <c r="M556" s="175" t="s">
        <v>1180</v>
      </c>
      <c r="N556" s="133" t="s">
        <v>1186</v>
      </c>
      <c r="O556" s="133" t="s">
        <v>1185</v>
      </c>
      <c r="P556" s="133" t="s">
        <v>1182</v>
      </c>
      <c r="Q556" s="133" t="s">
        <v>1397</v>
      </c>
      <c r="R556" s="325" t="s">
        <v>4038</v>
      </c>
    </row>
    <row r="557" spans="2:18">
      <c r="B557" s="182" t="str">
        <f t="shared" si="25"/>
        <v>No</v>
      </c>
      <c r="M557" s="175" t="s">
        <v>1181</v>
      </c>
      <c r="N557" s="133" t="s">
        <v>1184</v>
      </c>
      <c r="O557" s="133" t="s">
        <v>1184</v>
      </c>
      <c r="P557" s="133" t="s">
        <v>1183</v>
      </c>
      <c r="Q557" s="133" t="s">
        <v>1398</v>
      </c>
      <c r="R557" s="325" t="s">
        <v>4039</v>
      </c>
    </row>
    <row r="558" spans="2:18">
      <c r="B558" s="182" t="str">
        <f t="shared" si="25"/>
        <v>Horizontal (delivery is 4 weeks)</v>
      </c>
      <c r="M558" s="175" t="s">
        <v>3179</v>
      </c>
      <c r="N558" s="133" t="s">
        <v>3180</v>
      </c>
      <c r="O558" s="133" t="s">
        <v>3181</v>
      </c>
      <c r="P558" s="133" t="s">
        <v>3182</v>
      </c>
      <c r="Q558" s="133" t="s">
        <v>3183</v>
      </c>
      <c r="R558" s="325" t="s">
        <v>4040</v>
      </c>
    </row>
    <row r="559" spans="2:18">
      <c r="B559" s="182" t="str">
        <f t="shared" si="25"/>
        <v>Vertical (delivery is 4 weeks)</v>
      </c>
      <c r="M559" s="175" t="s">
        <v>3184</v>
      </c>
      <c r="N559" s="133" t="s">
        <v>3185</v>
      </c>
      <c r="O559" s="133" t="s">
        <v>3186</v>
      </c>
      <c r="P559" s="133" t="s">
        <v>3187</v>
      </c>
      <c r="Q559" s="133" t="s">
        <v>3188</v>
      </c>
      <c r="R559" s="325" t="s">
        <v>4041</v>
      </c>
    </row>
    <row r="560" spans="2:18">
      <c r="B560" s="182" t="str">
        <f t="shared" si="25"/>
        <v>Horizontal and vertical (delivery is 4 weeks)</v>
      </c>
      <c r="M560" s="175" t="s">
        <v>3189</v>
      </c>
      <c r="N560" s="133" t="s">
        <v>3190</v>
      </c>
      <c r="O560" s="133" t="s">
        <v>3191</v>
      </c>
      <c r="P560" s="133" t="s">
        <v>3192</v>
      </c>
      <c r="Q560" s="133" t="s">
        <v>3193</v>
      </c>
      <c r="R560" s="325" t="s">
        <v>4042</v>
      </c>
    </row>
    <row r="561" spans="2:18">
      <c r="B561" s="182" t="str">
        <f t="shared" si="25"/>
        <v>Frame composed of two different profiles</v>
      </c>
      <c r="M561" s="133" t="s">
        <v>1006</v>
      </c>
      <c r="N561" s="133" t="s">
        <v>1187</v>
      </c>
      <c r="O561" s="133" t="s">
        <v>1319</v>
      </c>
      <c r="P561" s="133" t="s">
        <v>1188</v>
      </c>
      <c r="Q561" s="133" t="s">
        <v>1574</v>
      </c>
      <c r="R561" s="325" t="s">
        <v>4043</v>
      </c>
    </row>
    <row r="562" spans="2:18">
      <c r="B562" s="182" t="str">
        <f t="shared" si="25"/>
        <v>Type of foil</v>
      </c>
      <c r="M562" s="175" t="s">
        <v>942</v>
      </c>
      <c r="N562" s="133" t="s">
        <v>1207</v>
      </c>
      <c r="O562" s="133" t="s">
        <v>1208</v>
      </c>
      <c r="P562" s="133" t="s">
        <v>1209</v>
      </c>
      <c r="Q562" s="133" t="s">
        <v>1575</v>
      </c>
      <c r="R562" s="325" t="s">
        <v>4044</v>
      </c>
    </row>
    <row r="563" spans="2:18">
      <c r="B563" s="182" t="str">
        <f t="shared" si="25"/>
        <v>Transparent</v>
      </c>
      <c r="M563" s="133" t="s">
        <v>953</v>
      </c>
      <c r="N563" s="133" t="s">
        <v>1210</v>
      </c>
      <c r="O563" s="133" t="s">
        <v>1320</v>
      </c>
      <c r="P563" s="133" t="s">
        <v>1213</v>
      </c>
      <c r="Q563" s="133" t="s">
        <v>1399</v>
      </c>
      <c r="R563" s="325" t="s">
        <v>1399</v>
      </c>
    </row>
    <row r="564" spans="2:18">
      <c r="B564" s="182" t="str">
        <f t="shared" si="25"/>
        <v>White</v>
      </c>
      <c r="M564" s="133" t="s">
        <v>956</v>
      </c>
      <c r="N564" s="133" t="s">
        <v>1211</v>
      </c>
      <c r="O564" s="133" t="s">
        <v>1321</v>
      </c>
      <c r="P564" s="133" t="s">
        <v>1295</v>
      </c>
      <c r="Q564" s="133" t="s">
        <v>1400</v>
      </c>
      <c r="R564" s="325" t="s">
        <v>4045</v>
      </c>
    </row>
    <row r="565" spans="2:18">
      <c r="B565" s="182" t="str">
        <f t="shared" si="25"/>
        <v>Black</v>
      </c>
      <c r="M565" s="133" t="s">
        <v>959</v>
      </c>
      <c r="N565" s="133" t="s">
        <v>1212</v>
      </c>
      <c r="O565" s="133" t="s">
        <v>1322</v>
      </c>
      <c r="P565" s="133" t="s">
        <v>1214</v>
      </c>
      <c r="Q565" s="133" t="s">
        <v>1401</v>
      </c>
      <c r="R565" s="325" t="s">
        <v>4046</v>
      </c>
    </row>
    <row r="566" spans="2:18">
      <c r="B566" s="182" t="str">
        <f t="shared" si="25"/>
        <v>Next</v>
      </c>
      <c r="M566" s="133" t="s">
        <v>1221</v>
      </c>
      <c r="N566" s="133" t="s">
        <v>1222</v>
      </c>
      <c r="O566" s="133" t="s">
        <v>1323</v>
      </c>
      <c r="P566" s="133" t="s">
        <v>1223</v>
      </c>
      <c r="Q566" s="133" t="s">
        <v>1402</v>
      </c>
      <c r="R566" s="325" t="s">
        <v>4047</v>
      </c>
    </row>
    <row r="567" spans="2:18">
      <c r="B567" s="182" t="str">
        <f t="shared" si="25"/>
        <v>Summary</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The view of the dividers is only illustrative and does not show the selected number of dividers horizontally/vertically.</v>
      </c>
      <c r="M571" s="133" t="s">
        <v>3068</v>
      </c>
      <c r="N571" s="133" t="s">
        <v>3070</v>
      </c>
      <c r="O571" s="133" t="s">
        <v>3069</v>
      </c>
      <c r="P571" s="133" t="s">
        <v>3071</v>
      </c>
      <c r="Q571" s="133" t="s">
        <v>1576</v>
      </c>
      <c r="R571" s="325" t="s">
        <v>4244</v>
      </c>
    </row>
    <row r="572" spans="2:18">
      <c r="B572" s="182" t="str">
        <f t="shared" si="27"/>
        <v>Warning:</v>
      </c>
      <c r="M572" s="133" t="s">
        <v>3570</v>
      </c>
      <c r="N572" s="133" t="s">
        <v>3569</v>
      </c>
      <c r="O572" s="133" t="s">
        <v>3568</v>
      </c>
      <c r="P572" s="133" t="s">
        <v>3571</v>
      </c>
      <c r="Q572" s="133" t="s">
        <v>3572</v>
      </c>
      <c r="R572" s="325" t="s">
        <v>4245</v>
      </c>
    </row>
    <row r="573" spans="2:18">
      <c r="B573" s="182" t="str">
        <f t="shared" si="27"/>
        <v>Do not change after you make a choice type of glass/mesh</v>
      </c>
      <c r="M573" s="133" t="s">
        <v>4313</v>
      </c>
      <c r="N573" s="133" t="s">
        <v>4314</v>
      </c>
      <c r="O573" s="133" t="s">
        <v>4315</v>
      </c>
      <c r="P573" s="133" t="s">
        <v>4316</v>
      </c>
      <c r="Q573" s="133" t="s">
        <v>4317</v>
      </c>
      <c r="R573" s="325" t="s">
        <v>4318</v>
      </c>
    </row>
    <row r="574" spans="2:18">
      <c r="B574" s="182" t="str">
        <f t="shared" si="27"/>
        <v>Back</v>
      </c>
      <c r="M574" s="133" t="s">
        <v>1324</v>
      </c>
      <c r="N574" s="133" t="s">
        <v>1327</v>
      </c>
      <c r="O574" s="133" t="s">
        <v>1326</v>
      </c>
      <c r="P574" s="133" t="s">
        <v>1325</v>
      </c>
      <c r="Q574" s="133" t="s">
        <v>1404</v>
      </c>
      <c r="R574" s="325" t="s">
        <v>4246</v>
      </c>
    </row>
    <row r="575" spans="2:18">
      <c r="B575" s="182" t="str">
        <f t="shared" si="27"/>
        <v>Default distance from the edge is set at 100mm (minimum 80mm). In case of different distances between hinges, please make a note (in mm).</v>
      </c>
      <c r="M575" s="133" t="s">
        <v>1329</v>
      </c>
      <c r="N575" s="133" t="s">
        <v>1330</v>
      </c>
      <c r="O575" s="133" t="s">
        <v>1331</v>
      </c>
      <c r="P575" s="133" t="s">
        <v>2080</v>
      </c>
      <c r="Q575" s="133" t="s">
        <v>1577</v>
      </c>
      <c r="R575" s="325" t="s">
        <v>4247</v>
      </c>
    </row>
    <row r="576" spans="2:18" ht="150">
      <c r="B576" s="182" t="str">
        <f t="shared" si="27"/>
        <v>Please specify distance from edge of the frame to holes for handle in green box.
If you require drilling the handle to the center of the frame and the center of the profile, please enter "x" in both cells.</v>
      </c>
      <c r="M576" s="203" t="s">
        <v>1612</v>
      </c>
      <c r="N576" s="203" t="s">
        <v>1941</v>
      </c>
      <c r="O576" s="203" t="s">
        <v>3567</v>
      </c>
      <c r="P576" s="203" t="s">
        <v>2079</v>
      </c>
      <c r="Q576" s="203" t="s">
        <v>1613</v>
      </c>
      <c r="R576" s="330" t="s">
        <v>4248</v>
      </c>
    </row>
    <row r="577" spans="2:18">
      <c r="B577" s="182" t="str">
        <f t="shared" si="27"/>
        <v>When using hinges, the maximal recommended size is 600mm</v>
      </c>
      <c r="M577" s="133" t="s">
        <v>3536</v>
      </c>
      <c r="N577" s="133" t="s">
        <v>3537</v>
      </c>
      <c r="O577" s="133" t="s">
        <v>3538</v>
      </c>
      <c r="P577" s="133" t="s">
        <v>3539</v>
      </c>
      <c r="Q577" s="133" t="s">
        <v>3540</v>
      </c>
      <c r="R577" s="325" t="s">
        <v>4249</v>
      </c>
    </row>
    <row r="578" spans="2:18">
      <c r="B578" s="182" t="str">
        <f t="shared" si="27"/>
        <v>Varna black - the manufacturer recommends a length of max. 1200 mm</v>
      </c>
      <c r="M578" s="133" t="s">
        <v>1425</v>
      </c>
      <c r="N578" s="133" t="s">
        <v>1426</v>
      </c>
      <c r="O578" s="133" t="s">
        <v>1427</v>
      </c>
      <c r="P578" s="133" t="s">
        <v>1428</v>
      </c>
      <c r="Q578" s="133" t="s">
        <v>1429</v>
      </c>
      <c r="R578" s="325" t="s">
        <v>4250</v>
      </c>
    </row>
    <row r="579" spans="2:18">
      <c r="B579" s="182" t="str">
        <f t="shared" si="27"/>
        <v>Varna black - the manufacturer recommends a length of max. 1200 mm</v>
      </c>
      <c r="M579" s="133" t="s">
        <v>1425</v>
      </c>
      <c r="N579" s="133" t="s">
        <v>1430</v>
      </c>
      <c r="O579" s="133" t="s">
        <v>1427</v>
      </c>
      <c r="P579" s="133" t="s">
        <v>1428</v>
      </c>
      <c r="Q579" s="133" t="s">
        <v>1429</v>
      </c>
      <c r="R579" s="325" t="s">
        <v>4250</v>
      </c>
    </row>
    <row r="580" spans="2:18" ht="67.900000000000006" customHeight="1">
      <c r="B580" s="182" t="str">
        <f t="shared" si="27"/>
        <v>Rocca black length max. 2150 mm 
Varna black length max. 1200 mm</v>
      </c>
      <c r="M580" s="203" t="s">
        <v>3063</v>
      </c>
      <c r="N580" s="203" t="s">
        <v>3064</v>
      </c>
      <c r="O580" s="203" t="s">
        <v>3065</v>
      </c>
      <c r="P580" s="203" t="s">
        <v>3066</v>
      </c>
      <c r="Q580" s="203" t="s">
        <v>3067</v>
      </c>
      <c r="R580" s="331" t="s">
        <v>4251</v>
      </c>
    </row>
    <row r="581" spans="2:18">
      <c r="B581" s="182" t="str">
        <f t="shared" si="27"/>
        <v>Glass order</v>
      </c>
      <c r="M581" s="133" t="s">
        <v>1431</v>
      </c>
      <c r="N581" s="133" t="s">
        <v>1431</v>
      </c>
      <c r="O581" s="133" t="s">
        <v>1432</v>
      </c>
      <c r="P581" s="133" t="s">
        <v>1433</v>
      </c>
      <c r="Q581" s="133" t="s">
        <v>1434</v>
      </c>
      <c r="R581" s="325" t="s">
        <v>4252</v>
      </c>
    </row>
    <row r="582" spans="2:18">
      <c r="B582" s="182" t="str">
        <f t="shared" si="27"/>
        <v>with spring and damping</v>
      </c>
      <c r="M582" s="133" t="s">
        <v>2096</v>
      </c>
      <c r="N582" s="133" t="s">
        <v>2099</v>
      </c>
      <c r="O582" s="133" t="s">
        <v>2102</v>
      </c>
      <c r="P582" s="133" t="s">
        <v>2105</v>
      </c>
      <c r="Q582" s="133" t="s">
        <v>2108</v>
      </c>
      <c r="R582" s="325" t="s">
        <v>4253</v>
      </c>
    </row>
    <row r="583" spans="2:18">
      <c r="B583" s="182" t="str">
        <f t="shared" si="27"/>
        <v>without damping</v>
      </c>
      <c r="M583" s="133" t="s">
        <v>2097</v>
      </c>
      <c r="N583" s="133" t="s">
        <v>2100</v>
      </c>
      <c r="O583" s="133" t="s">
        <v>2103</v>
      </c>
      <c r="P583" s="133" t="s">
        <v>2106</v>
      </c>
      <c r="Q583" s="133" t="s">
        <v>2109</v>
      </c>
      <c r="R583" s="325" t="s">
        <v>4254</v>
      </c>
    </row>
    <row r="584" spans="2:18">
      <c r="B584" s="182" t="str">
        <f t="shared" si="27"/>
        <v>tip-on without spring / damping</v>
      </c>
      <c r="M584" s="133" t="s">
        <v>2098</v>
      </c>
      <c r="N584" s="133" t="s">
        <v>2101</v>
      </c>
      <c r="O584" s="133" t="s">
        <v>2104</v>
      </c>
      <c r="P584" s="133" t="s">
        <v>2107</v>
      </c>
      <c r="Q584" s="133" t="s">
        <v>2110</v>
      </c>
      <c r="R584" s="325" t="s">
        <v>4255</v>
      </c>
    </row>
    <row r="585" spans="2:18">
      <c r="B585" s="182" t="str">
        <f t="shared" si="27"/>
        <v>silver</v>
      </c>
      <c r="M585" s="133" t="s">
        <v>1102</v>
      </c>
      <c r="N585" s="133" t="s">
        <v>1600</v>
      </c>
      <c r="O585" s="133" t="s">
        <v>1601</v>
      </c>
      <c r="P585" s="133" t="s">
        <v>1596</v>
      </c>
      <c r="Q585" s="133" t="s">
        <v>1598</v>
      </c>
      <c r="R585" s="325" t="s">
        <v>4256</v>
      </c>
    </row>
    <row r="586" spans="2:18">
      <c r="B586" s="182" t="str">
        <f t="shared" si="27"/>
        <v>black</v>
      </c>
      <c r="M586" s="133" t="s">
        <v>1104</v>
      </c>
      <c r="N586" s="133" t="s">
        <v>1212</v>
      </c>
      <c r="O586" s="133" t="s">
        <v>1602</v>
      </c>
      <c r="P586" s="133" t="s">
        <v>1597</v>
      </c>
      <c r="Q586" s="133" t="s">
        <v>1599</v>
      </c>
      <c r="R586" s="325" t="s">
        <v>4257</v>
      </c>
    </row>
    <row r="587" spans="2:18">
      <c r="B587" s="182" t="str">
        <f t="shared" si="27"/>
        <v>When used with glass, the maximum recommended dimension is 1500 x 600 mm</v>
      </c>
      <c r="M587" s="133" t="s">
        <v>1616</v>
      </c>
      <c r="N587" s="133" t="s">
        <v>1619</v>
      </c>
      <c r="O587" s="133" t="s">
        <v>1617</v>
      </c>
      <c r="P587" s="133" t="s">
        <v>1618</v>
      </c>
      <c r="Q587" s="133" t="s">
        <v>1615</v>
      </c>
      <c r="R587" s="325" t="s">
        <v>4049</v>
      </c>
    </row>
    <row r="588" spans="2:18">
      <c r="B588" s="133" t="s">
        <v>1940</v>
      </c>
      <c r="R588" s="325"/>
    </row>
    <row r="589" spans="2:18">
      <c r="B589" s="182" t="str">
        <f t="shared" si="27"/>
        <v>(bottom)</v>
      </c>
      <c r="M589" t="s">
        <v>3197</v>
      </c>
      <c r="N589" s="133" t="s">
        <v>1942</v>
      </c>
      <c r="O589" s="133" t="s">
        <v>1954</v>
      </c>
      <c r="P589" s="133" t="s">
        <v>1946</v>
      </c>
      <c r="Q589" s="133" t="s">
        <v>1950</v>
      </c>
      <c r="R589" t="s">
        <v>4050</v>
      </c>
    </row>
    <row r="590" spans="2:18">
      <c r="B590" s="182" t="str">
        <f t="shared" si="27"/>
        <v>(left)</v>
      </c>
      <c r="M590" t="s">
        <v>3198</v>
      </c>
      <c r="N590" s="133" t="s">
        <v>1943</v>
      </c>
      <c r="O590" s="133" t="s">
        <v>1955</v>
      </c>
      <c r="P590" s="133" t="s">
        <v>1947</v>
      </c>
      <c r="Q590" s="133" t="s">
        <v>1951</v>
      </c>
      <c r="R590" t="s">
        <v>4051</v>
      </c>
    </row>
    <row r="591" spans="2:18">
      <c r="B591" s="182" t="str">
        <f t="shared" si="27"/>
        <v>(upper)</v>
      </c>
      <c r="M591" t="s">
        <v>3199</v>
      </c>
      <c r="N591" s="133" t="s">
        <v>1944</v>
      </c>
      <c r="O591" s="133" t="s">
        <v>1956</v>
      </c>
      <c r="P591" s="133" t="s">
        <v>1948</v>
      </c>
      <c r="Q591" s="133" t="s">
        <v>1952</v>
      </c>
      <c r="R591" t="s">
        <v>4052</v>
      </c>
    </row>
    <row r="592" spans="2:18">
      <c r="B592" s="182" t="str">
        <f t="shared" si="27"/>
        <v>(right)</v>
      </c>
      <c r="M592" t="s">
        <v>1945</v>
      </c>
      <c r="N592" s="133" t="s">
        <v>1945</v>
      </c>
      <c r="O592" s="133" t="s">
        <v>1957</v>
      </c>
      <c r="P592" s="133" t="s">
        <v>1949</v>
      </c>
      <c r="Q592" s="133" t="s">
        <v>1953</v>
      </c>
      <c r="R592" t="s">
        <v>4053</v>
      </c>
    </row>
    <row r="593" spans="2:18">
      <c r="B593" s="182" t="str">
        <f t="shared" si="27"/>
        <v>275672 -autom., 30N grey</v>
      </c>
      <c r="M593" s="133" t="s">
        <v>1959</v>
      </c>
      <c r="N593" s="133" t="s">
        <v>1960</v>
      </c>
      <c r="O593" s="133" t="s">
        <v>1961</v>
      </c>
      <c r="P593" s="133" t="s">
        <v>1962</v>
      </c>
      <c r="Q593" s="133" t="s">
        <v>1963</v>
      </c>
      <c r="R593" t="s">
        <v>4054</v>
      </c>
    </row>
    <row r="594" spans="2:18">
      <c r="B594" s="182" t="str">
        <f t="shared" si="27"/>
        <v>275673 -autom., 60N grey</v>
      </c>
      <c r="M594" s="133" t="s">
        <v>1964</v>
      </c>
      <c r="N594" s="133" t="s">
        <v>1965</v>
      </c>
      <c r="O594" s="133" t="s">
        <v>1966</v>
      </c>
      <c r="P594" s="133" t="s">
        <v>1967</v>
      </c>
      <c r="Q594" s="133" t="s">
        <v>1968</v>
      </c>
      <c r="R594" t="s">
        <v>4055</v>
      </c>
    </row>
    <row r="595" spans="2:18">
      <c r="B595" s="182" t="str">
        <f t="shared" si="27"/>
        <v>275674 -autom., 80N grey</v>
      </c>
      <c r="M595" s="133" t="s">
        <v>1969</v>
      </c>
      <c r="N595" s="133" t="s">
        <v>1970</v>
      </c>
      <c r="O595" s="133" t="s">
        <v>1971</v>
      </c>
      <c r="P595" s="133" t="s">
        <v>1972</v>
      </c>
      <c r="Q595" s="133" t="s">
        <v>1973</v>
      </c>
      <c r="R595" t="s">
        <v>4056</v>
      </c>
    </row>
    <row r="596" spans="2:18">
      <c r="B596" s="182" t="str">
        <f t="shared" si="27"/>
        <v>275675 -autom., 100N grey</v>
      </c>
      <c r="M596" s="133" t="s">
        <v>1974</v>
      </c>
      <c r="N596" s="133" t="s">
        <v>1975</v>
      </c>
      <c r="O596" s="133" t="s">
        <v>1976</v>
      </c>
      <c r="P596" s="133" t="s">
        <v>1977</v>
      </c>
      <c r="Q596" s="133" t="s">
        <v>1978</v>
      </c>
      <c r="R596" t="s">
        <v>4057</v>
      </c>
    </row>
    <row r="597" spans="2:18">
      <c r="B597" s="182" t="str">
        <f t="shared" si="27"/>
        <v>275676 -autom., 120N grey</v>
      </c>
      <c r="M597" s="133" t="s">
        <v>1979</v>
      </c>
      <c r="N597" s="133" t="s">
        <v>1980</v>
      </c>
      <c r="O597" s="133" t="s">
        <v>1981</v>
      </c>
      <c r="P597" s="133" t="s">
        <v>1982</v>
      </c>
      <c r="Q597" s="133" t="s">
        <v>1983</v>
      </c>
      <c r="R597" t="s">
        <v>4058</v>
      </c>
    </row>
    <row r="598" spans="2:18">
      <c r="B598" s="204" t="s">
        <v>1958</v>
      </c>
      <c r="R598"/>
    </row>
    <row r="599" spans="2:18">
      <c r="B599" s="182" t="str">
        <f t="shared" si="27"/>
        <v>248162 -autom., 30N white</v>
      </c>
      <c r="M599" s="133" t="s">
        <v>1984</v>
      </c>
      <c r="N599" s="133" t="s">
        <v>1985</v>
      </c>
      <c r="O599" s="133" t="s">
        <v>1986</v>
      </c>
      <c r="P599" s="133" t="s">
        <v>1987</v>
      </c>
      <c r="Q599" s="133" t="s">
        <v>1988</v>
      </c>
      <c r="R599" t="s">
        <v>4059</v>
      </c>
    </row>
    <row r="600" spans="2:18">
      <c r="B600" s="182" t="str">
        <f t="shared" si="27"/>
        <v>248163 -autom., 60N white</v>
      </c>
      <c r="M600" s="133" t="s">
        <v>1989</v>
      </c>
      <c r="N600" s="133" t="s">
        <v>1990</v>
      </c>
      <c r="O600" s="133" t="s">
        <v>1991</v>
      </c>
      <c r="P600" s="133" t="s">
        <v>1992</v>
      </c>
      <c r="Q600" s="133" t="s">
        <v>1993</v>
      </c>
      <c r="R600" t="s">
        <v>4060</v>
      </c>
    </row>
    <row r="601" spans="2:18">
      <c r="B601" s="182" t="str">
        <f t="shared" si="27"/>
        <v>248164 -autom., 80N white</v>
      </c>
      <c r="M601" s="133" t="s">
        <v>1994</v>
      </c>
      <c r="N601" s="133" t="s">
        <v>1995</v>
      </c>
      <c r="O601" s="133" t="s">
        <v>1996</v>
      </c>
      <c r="P601" s="133" t="s">
        <v>1997</v>
      </c>
      <c r="Q601" s="133" t="s">
        <v>1998</v>
      </c>
      <c r="R601" t="s">
        <v>4061</v>
      </c>
    </row>
    <row r="602" spans="2:18">
      <c r="B602" s="182" t="str">
        <f t="shared" si="27"/>
        <v>248165 -autom., 100N white</v>
      </c>
      <c r="M602" s="133" t="s">
        <v>1999</v>
      </c>
      <c r="N602" s="133" t="s">
        <v>2000</v>
      </c>
      <c r="O602" s="133" t="s">
        <v>2001</v>
      </c>
      <c r="P602" s="133" t="s">
        <v>2002</v>
      </c>
      <c r="Q602" s="133" t="s">
        <v>2003</v>
      </c>
      <c r="R602" t="s">
        <v>4062</v>
      </c>
    </row>
    <row r="603" spans="2:18">
      <c r="B603" s="182" t="str">
        <f t="shared" si="27"/>
        <v>248166 -autom., 120N white</v>
      </c>
      <c r="M603" s="133" t="s">
        <v>2004</v>
      </c>
      <c r="N603" s="133" t="s">
        <v>2005</v>
      </c>
      <c r="O603" s="133" t="s">
        <v>2006</v>
      </c>
      <c r="P603" s="133" t="s">
        <v>2007</v>
      </c>
      <c r="Q603" s="133" t="s">
        <v>2008</v>
      </c>
      <c r="R603" t="s">
        <v>4063</v>
      </c>
    </row>
    <row r="604" spans="2:18">
      <c r="B604" s="182" t="str">
        <f t="shared" si="27"/>
        <v>284250 - positio., 60N grey</v>
      </c>
      <c r="M604" s="133" t="s">
        <v>2009</v>
      </c>
      <c r="N604" s="133" t="s">
        <v>2010</v>
      </c>
      <c r="O604" s="133" t="s">
        <v>2011</v>
      </c>
      <c r="P604" s="133" t="s">
        <v>2012</v>
      </c>
      <c r="Q604" s="133" t="s">
        <v>2013</v>
      </c>
      <c r="R604" t="s">
        <v>4064</v>
      </c>
    </row>
    <row r="605" spans="2:18">
      <c r="B605" s="204" t="s">
        <v>1958</v>
      </c>
      <c r="R605"/>
    </row>
    <row r="606" spans="2:18">
      <c r="B606" s="182" t="str">
        <f t="shared" si="27"/>
        <v>284251 - positio., 80N grey</v>
      </c>
      <c r="M606" s="133" t="s">
        <v>2014</v>
      </c>
      <c r="N606" s="133" t="s">
        <v>2015</v>
      </c>
      <c r="O606" s="133" t="s">
        <v>2016</v>
      </c>
      <c r="P606" s="133" t="s">
        <v>2017</v>
      </c>
      <c r="Q606" s="133" t="s">
        <v>2018</v>
      </c>
      <c r="R606" t="s">
        <v>4065</v>
      </c>
    </row>
    <row r="607" spans="2:18">
      <c r="B607" s="182" t="str">
        <f t="shared" si="27"/>
        <v>284252 - positio., 100N grey</v>
      </c>
      <c r="M607" s="133" t="s">
        <v>2019</v>
      </c>
      <c r="N607" s="133" t="s">
        <v>2020</v>
      </c>
      <c r="O607" s="133" t="s">
        <v>2021</v>
      </c>
      <c r="P607" s="133" t="s">
        <v>2022</v>
      </c>
      <c r="Q607" s="133" t="s">
        <v>2023</v>
      </c>
      <c r="R607" t="s">
        <v>4066</v>
      </c>
    </row>
    <row r="608" spans="2:18">
      <c r="B608" s="182" t="str">
        <f t="shared" si="27"/>
        <v>284253 - positio., 120N grey</v>
      </c>
      <c r="M608" s="133" t="s">
        <v>2024</v>
      </c>
      <c r="N608" s="133" t="s">
        <v>2025</v>
      </c>
      <c r="O608" s="133" t="s">
        <v>2026</v>
      </c>
      <c r="P608" s="133" t="s">
        <v>2027</v>
      </c>
      <c r="Q608" s="133" t="s">
        <v>2028</v>
      </c>
      <c r="R608" t="s">
        <v>4067</v>
      </c>
    </row>
    <row r="609" spans="2:18">
      <c r="B609" s="182" t="str">
        <f t="shared" si="27"/>
        <v>284254 - positio., 60N white</v>
      </c>
      <c r="M609" s="133" t="s">
        <v>2029</v>
      </c>
      <c r="N609" s="133" t="s">
        <v>2030</v>
      </c>
      <c r="O609" s="133" t="s">
        <v>2031</v>
      </c>
      <c r="P609" s="133" t="s">
        <v>2032</v>
      </c>
      <c r="Q609" s="133" t="s">
        <v>2033</v>
      </c>
      <c r="R609" t="s">
        <v>4068</v>
      </c>
    </row>
    <row r="610" spans="2:18">
      <c r="B610" s="182" t="str">
        <f t="shared" si="27"/>
        <v>284255 - positio., 80N white</v>
      </c>
      <c r="M610" s="133" t="s">
        <v>2034</v>
      </c>
      <c r="N610" s="133" t="s">
        <v>2035</v>
      </c>
      <c r="O610" s="133" t="s">
        <v>2036</v>
      </c>
      <c r="P610" s="133" t="s">
        <v>2037</v>
      </c>
      <c r="Q610" s="133" t="s">
        <v>2038</v>
      </c>
      <c r="R610" t="s">
        <v>4069</v>
      </c>
    </row>
    <row r="611" spans="2:18">
      <c r="B611" s="182" t="str">
        <f t="shared" si="27"/>
        <v>284256 - positio., 100N white</v>
      </c>
      <c r="M611" s="133" t="s">
        <v>2039</v>
      </c>
      <c r="N611" s="133" t="s">
        <v>2040</v>
      </c>
      <c r="O611" s="133" t="s">
        <v>2041</v>
      </c>
      <c r="P611" s="133" t="s">
        <v>2042</v>
      </c>
      <c r="Q611" s="133" t="s">
        <v>2043</v>
      </c>
      <c r="R611" t="s">
        <v>4070</v>
      </c>
    </row>
    <row r="612" spans="2:18">
      <c r="B612" s="182" t="str">
        <f t="shared" si="27"/>
        <v>284257 - positio., 120N white</v>
      </c>
      <c r="M612" s="133" t="s">
        <v>2044</v>
      </c>
      <c r="N612" s="133" t="s">
        <v>2045</v>
      </c>
      <c r="O612" s="133" t="s">
        <v>2046</v>
      </c>
      <c r="P612" s="133" t="s">
        <v>2047</v>
      </c>
      <c r="Q612" s="133" t="s">
        <v>2048</v>
      </c>
      <c r="R612" t="s">
        <v>4071</v>
      </c>
    </row>
    <row r="613" spans="2:18">
      <c r="B613" s="204" t="s">
        <v>1958</v>
      </c>
      <c r="R613" s="325"/>
    </row>
    <row r="614" spans="2:18">
      <c r="B614" s="182" t="str">
        <f t="shared" si="27"/>
        <v>275689 - bottom, 80N grey</v>
      </c>
      <c r="M614" s="133" t="s">
        <v>3277</v>
      </c>
      <c r="N614" s="133" t="s">
        <v>2049</v>
      </c>
      <c r="O614" s="133" t="s">
        <v>2050</v>
      </c>
      <c r="P614" s="133" t="s">
        <v>2051</v>
      </c>
      <c r="Q614" s="133" t="s">
        <v>2052</v>
      </c>
      <c r="R614" s="325" t="s">
        <v>4258</v>
      </c>
    </row>
    <row r="615" spans="2:18">
      <c r="B615" s="182" t="str">
        <f t="shared" si="27"/>
        <v>248167 - bottom, 80N white</v>
      </c>
      <c r="M615" s="133" t="s">
        <v>3278</v>
      </c>
      <c r="N615" s="133" t="s">
        <v>2053</v>
      </c>
      <c r="O615" s="133" t="s">
        <v>2054</v>
      </c>
      <c r="P615" s="133" t="s">
        <v>2055</v>
      </c>
      <c r="Q615" s="133" t="s">
        <v>2056</v>
      </c>
      <c r="R615" s="325" t="s">
        <v>4259</v>
      </c>
    </row>
    <row r="616" spans="2:18">
      <c r="B616" s="182" t="str">
        <f t="shared" si="27"/>
        <v>507355-22L3200-cabinet height=300 – 339 mm</v>
      </c>
      <c r="M616" s="133" t="s">
        <v>2297</v>
      </c>
      <c r="N616" s="133" t="s">
        <v>2301</v>
      </c>
      <c r="O616" s="133" t="s">
        <v>2305</v>
      </c>
      <c r="P616" s="133" t="s">
        <v>2309</v>
      </c>
      <c r="Q616" s="133" t="s">
        <v>2313</v>
      </c>
      <c r="R616" s="325" t="s">
        <v>4260</v>
      </c>
    </row>
    <row r="617" spans="2:18">
      <c r="B617" s="182" t="str">
        <f t="shared" si="27"/>
        <v>507356-22L3500-cabinet height=340 – 389 mm</v>
      </c>
      <c r="M617" s="133" t="s">
        <v>2298</v>
      </c>
      <c r="N617" s="133" t="s">
        <v>2302</v>
      </c>
      <c r="O617" s="133" t="s">
        <v>2306</v>
      </c>
      <c r="P617" s="133" t="s">
        <v>2310</v>
      </c>
      <c r="Q617" s="133" t="s">
        <v>2314</v>
      </c>
      <c r="R617" s="325" t="s">
        <v>4261</v>
      </c>
    </row>
    <row r="618" spans="2:18">
      <c r="B618" s="182" t="str">
        <f t="shared" si="27"/>
        <v>507357-22L3800-cabinet height=390 – 540 mm</v>
      </c>
      <c r="M618" s="133" t="s">
        <v>2299</v>
      </c>
      <c r="N618" s="133" t="s">
        <v>2303</v>
      </c>
      <c r="O618" s="133" t="s">
        <v>2307</v>
      </c>
      <c r="P618" s="133" t="s">
        <v>2311</v>
      </c>
      <c r="Q618" s="133" t="s">
        <v>2315</v>
      </c>
      <c r="R618" s="325" t="s">
        <v>4262</v>
      </c>
    </row>
    <row r="619" spans="2:18">
      <c r="B619" s="182" t="str">
        <f t="shared" si="27"/>
        <v>507358-22L3900-cabinet height=480 – 580 mm</v>
      </c>
      <c r="M619" s="133" t="s">
        <v>2300</v>
      </c>
      <c r="N619" s="133" t="s">
        <v>2304</v>
      </c>
      <c r="O619" s="133" t="s">
        <v>2308</v>
      </c>
      <c r="P619" s="133" t="s">
        <v>2312</v>
      </c>
      <c r="Q619" s="133" t="s">
        <v>2316</v>
      </c>
      <c r="R619" s="325" t="s">
        <v>4263</v>
      </c>
    </row>
    <row r="620" spans="2:18">
      <c r="B620" s="182" t="str">
        <f t="shared" si="27"/>
        <v>Servo:</v>
      </c>
      <c r="M620" s="133" t="s">
        <v>2057</v>
      </c>
      <c r="N620" s="133" t="s">
        <v>2057</v>
      </c>
      <c r="O620" s="133" t="s">
        <v>2057</v>
      </c>
      <c r="P620" s="133" t="s">
        <v>2057</v>
      </c>
      <c r="Q620" s="133" t="s">
        <v>2057</v>
      </c>
      <c r="R620" s="325" t="s">
        <v>4264</v>
      </c>
    </row>
    <row r="621" spans="2:18">
      <c r="B621" s="182" t="str">
        <f t="shared" si="27"/>
        <v>197612-21L3200.01-cabinet height=300 – 349 mm</v>
      </c>
      <c r="M621" s="133" t="s">
        <v>2058</v>
      </c>
      <c r="N621" s="133" t="s">
        <v>2059</v>
      </c>
      <c r="O621" s="133" t="s">
        <v>2060</v>
      </c>
      <c r="P621" s="133" t="s">
        <v>2061</v>
      </c>
      <c r="Q621" s="133" t="s">
        <v>2062</v>
      </c>
      <c r="R621" s="325" t="s">
        <v>4265</v>
      </c>
    </row>
    <row r="622" spans="2:18">
      <c r="B622" s="182" t="str">
        <f t="shared" si="27"/>
        <v>197613-21L3500.01-cabinet height=350 – 399 mm</v>
      </c>
      <c r="M622" s="133" t="s">
        <v>2063</v>
      </c>
      <c r="N622" s="133" t="s">
        <v>2064</v>
      </c>
      <c r="O622" s="133" t="s">
        <v>2065</v>
      </c>
      <c r="P622" s="133" t="s">
        <v>2066</v>
      </c>
      <c r="Q622" s="133" t="s">
        <v>2067</v>
      </c>
      <c r="R622" s="325" t="s">
        <v>4266</v>
      </c>
    </row>
    <row r="623" spans="2:18">
      <c r="B623" s="182" t="str">
        <f t="shared" si="27"/>
        <v>197614-21L3800.01-cabinet height=400 – 550 mm</v>
      </c>
      <c r="M623" s="133" t="s">
        <v>2068</v>
      </c>
      <c r="N623" s="133" t="s">
        <v>2069</v>
      </c>
      <c r="O623" s="133" t="s">
        <v>2070</v>
      </c>
      <c r="P623" s="133" t="s">
        <v>2071</v>
      </c>
      <c r="Q623" s="133" t="s">
        <v>2072</v>
      </c>
      <c r="R623" s="325" t="s">
        <v>4267</v>
      </c>
    </row>
    <row r="624" spans="2:18">
      <c r="B624" s="182" t="str">
        <f t="shared" si="27"/>
        <v>197615-21L3900.01-cabinet height=450 – 580 mm</v>
      </c>
      <c r="M624" s="133" t="s">
        <v>2073</v>
      </c>
      <c r="N624" s="133" t="s">
        <v>2074</v>
      </c>
      <c r="O624" s="133" t="s">
        <v>2075</v>
      </c>
      <c r="P624" s="133" t="s">
        <v>2076</v>
      </c>
      <c r="Q624" s="133" t="s">
        <v>2077</v>
      </c>
      <c r="R624" s="325" t="s">
        <v>4268</v>
      </c>
    </row>
    <row r="625" spans="2:18">
      <c r="B625" s="182" t="str">
        <f t="shared" si="27"/>
        <v>Type of glass/mesh</v>
      </c>
      <c r="M625" s="175" t="s">
        <v>2291</v>
      </c>
      <c r="N625" s="133" t="s">
        <v>2292</v>
      </c>
      <c r="O625" s="133" t="s">
        <v>2293</v>
      </c>
      <c r="P625" s="133" t="s">
        <v>2294</v>
      </c>
      <c r="Q625" s="133" t="s">
        <v>2295</v>
      </c>
      <c r="R625" s="325" t="s">
        <v>4214</v>
      </c>
    </row>
    <row r="626" spans="2:18" ht="75">
      <c r="B626" s="182" t="str">
        <f t="shared" si="27"/>
        <v>In the green cells, specify the drilling distance of the handle from the outer edge of the frame.</v>
      </c>
      <c r="M626" s="203" t="s">
        <v>2091</v>
      </c>
      <c r="N626" s="203" t="s">
        <v>2092</v>
      </c>
      <c r="O626" s="203" t="s">
        <v>2093</v>
      </c>
      <c r="P626" s="203" t="s">
        <v>2094</v>
      </c>
      <c r="Q626" s="203" t="s">
        <v>2095</v>
      </c>
      <c r="R626" s="330" t="s">
        <v>4269</v>
      </c>
    </row>
    <row r="627" spans="2:18">
      <c r="B627" s="182" t="str">
        <f t="shared" si="27"/>
        <v>Invalid combination</v>
      </c>
      <c r="M627" s="133" t="s">
        <v>2111</v>
      </c>
      <c r="N627" s="133" t="s">
        <v>2115</v>
      </c>
      <c r="O627" s="133" t="s">
        <v>2114</v>
      </c>
      <c r="P627" s="133" t="s">
        <v>2113</v>
      </c>
      <c r="Q627" s="133" t="s">
        <v>2112</v>
      </c>
      <c r="R627" s="325" t="s">
        <v>4270</v>
      </c>
    </row>
    <row r="628" spans="2:18">
      <c r="B628" s="182" t="str">
        <f t="shared" si="27"/>
        <v>cross screw</v>
      </c>
      <c r="M628" s="175" t="s">
        <v>2123</v>
      </c>
      <c r="N628" s="175" t="s">
        <v>2129</v>
      </c>
      <c r="O628" s="133" t="s">
        <v>2130</v>
      </c>
      <c r="P628" s="133" t="s">
        <v>2131</v>
      </c>
      <c r="Q628" s="133" t="s">
        <v>2132</v>
      </c>
      <c r="R628" s="325" t="s">
        <v>4271</v>
      </c>
    </row>
    <row r="629" spans="2:18">
      <c r="B629" s="182" t="str">
        <f t="shared" si="27"/>
        <v>on screw (w/ cam adjust)</v>
      </c>
      <c r="M629" s="175" t="s">
        <v>2121</v>
      </c>
      <c r="N629" s="175" t="s">
        <v>2133</v>
      </c>
      <c r="O629" s="133" t="s">
        <v>2134</v>
      </c>
      <c r="P629" s="133" t="s">
        <v>2135</v>
      </c>
      <c r="Q629" s="133" t="s">
        <v>2136</v>
      </c>
      <c r="R629" s="325" t="s">
        <v>4272</v>
      </c>
    </row>
    <row r="630" spans="2:18">
      <c r="B630" s="182" t="str">
        <f t="shared" si="27"/>
        <v>euroscrew</v>
      </c>
      <c r="M630" s="175" t="s">
        <v>2124</v>
      </c>
      <c r="N630" s="175" t="s">
        <v>2137</v>
      </c>
      <c r="O630" s="133" t="s">
        <v>2152</v>
      </c>
      <c r="P630" s="133" t="s">
        <v>2138</v>
      </c>
      <c r="Q630" s="133" t="s">
        <v>2139</v>
      </c>
      <c r="R630" s="325" t="s">
        <v>4273</v>
      </c>
    </row>
    <row r="631" spans="2:18">
      <c r="B631" s="182" t="str">
        <f t="shared" si="27"/>
        <v>expando</v>
      </c>
      <c r="M631" s="175" t="s">
        <v>2125</v>
      </c>
      <c r="N631" s="175" t="s">
        <v>2140</v>
      </c>
      <c r="O631" s="133" t="s">
        <v>2153</v>
      </c>
      <c r="P631" s="133" t="s">
        <v>2141</v>
      </c>
      <c r="Q631" s="133" t="s">
        <v>2141</v>
      </c>
      <c r="R631" s="325" t="s">
        <v>4274</v>
      </c>
    </row>
    <row r="632" spans="2:18">
      <c r="B632" s="182" t="str">
        <f t="shared" si="27"/>
        <v>direct screw</v>
      </c>
      <c r="M632" s="175" t="s">
        <v>2126</v>
      </c>
      <c r="N632" s="175" t="s">
        <v>2142</v>
      </c>
      <c r="O632" s="133" t="s">
        <v>2143</v>
      </c>
      <c r="P632" s="133" t="s">
        <v>2145</v>
      </c>
      <c r="Q632" s="133" t="s">
        <v>2144</v>
      </c>
      <c r="R632" s="325" t="s">
        <v>4275</v>
      </c>
    </row>
    <row r="633" spans="2:18">
      <c r="B633" s="182" t="str">
        <f t="shared" si="27"/>
        <v>direct euroscrew</v>
      </c>
      <c r="M633" s="175" t="s">
        <v>2127</v>
      </c>
      <c r="N633" s="175" t="s">
        <v>2127</v>
      </c>
      <c r="O633" s="133" t="s">
        <v>2148</v>
      </c>
      <c r="P633" s="133" t="s">
        <v>2146</v>
      </c>
      <c r="Q633" s="133" t="s">
        <v>2147</v>
      </c>
      <c r="R633" s="325" t="s">
        <v>4276</v>
      </c>
    </row>
    <row r="634" spans="2:18">
      <c r="B634" s="182" t="str">
        <f t="shared" si="27"/>
        <v>direct expando</v>
      </c>
      <c r="M634" s="175" t="s">
        <v>2128</v>
      </c>
      <c r="N634" s="175" t="s">
        <v>2128</v>
      </c>
      <c r="O634" s="133" t="s">
        <v>2149</v>
      </c>
      <c r="P634" s="133" t="s">
        <v>2150</v>
      </c>
      <c r="Q634" s="133" t="s">
        <v>2151</v>
      </c>
      <c r="R634" s="325" t="s">
        <v>4277</v>
      </c>
    </row>
    <row r="635" spans="2:18">
      <c r="B635" s="182" t="str">
        <f t="shared" ref="B635:B651" si="28">IF($D$1=1,M635,IF($D$1=2,N635,IF($D$1=3,O635,IF($D$1=4,P635,IF($D$1=5,Q635,IF($D$1=6,R635,0))))))</f>
        <v>length max. 2150 mm</v>
      </c>
      <c r="M635" s="133" t="s">
        <v>2167</v>
      </c>
      <c r="N635" s="133" t="s">
        <v>2168</v>
      </c>
      <c r="O635" s="133" t="s">
        <v>2169</v>
      </c>
      <c r="P635" s="133" t="s">
        <v>2269</v>
      </c>
      <c r="Q635" s="133" t="s">
        <v>2170</v>
      </c>
      <c r="R635" s="325" t="s">
        <v>4278</v>
      </c>
    </row>
    <row r="636" spans="2:18">
      <c r="B636" s="182" t="str">
        <f t="shared" si="28"/>
        <v>Distance from the bottom edge</v>
      </c>
      <c r="M636" s="175" t="s">
        <v>3275</v>
      </c>
      <c r="N636" s="133" t="s">
        <v>2186</v>
      </c>
      <c r="O636" s="133" t="s">
        <v>2184</v>
      </c>
      <c r="P636" s="133" t="s">
        <v>2188</v>
      </c>
      <c r="Q636" s="133" t="s">
        <v>2182</v>
      </c>
      <c r="R636" s="325" t="s">
        <v>4279</v>
      </c>
    </row>
    <row r="637" spans="2:18">
      <c r="B637" s="182" t="str">
        <f t="shared" si="28"/>
        <v>Distance from the top edge</v>
      </c>
      <c r="M637" s="175" t="s">
        <v>3276</v>
      </c>
      <c r="N637" s="133" t="s">
        <v>2187</v>
      </c>
      <c r="O637" s="133" t="s">
        <v>2185</v>
      </c>
      <c r="P637" s="133" t="s">
        <v>2189</v>
      </c>
      <c r="Q637" s="133" t="s">
        <v>2183</v>
      </c>
      <c r="R637" s="325" t="s">
        <v>4280</v>
      </c>
    </row>
    <row r="638" spans="2:18">
      <c r="B638" s="182" t="str">
        <f t="shared" si="28"/>
        <v>Not treated</v>
      </c>
      <c r="M638" s="133" t="s">
        <v>1139</v>
      </c>
      <c r="N638" s="133" t="s">
        <v>1139</v>
      </c>
      <c r="O638" s="133" t="s">
        <v>1140</v>
      </c>
      <c r="P638" s="133" t="s">
        <v>1138</v>
      </c>
      <c r="Q638" s="133" t="s">
        <v>1438</v>
      </c>
      <c r="R638" s="325" t="s">
        <v>4281</v>
      </c>
    </row>
    <row r="639" spans="2:18">
      <c r="B639" s="182" t="str">
        <f t="shared" si="28"/>
        <v>Harded (delivery is 4 weeks)</v>
      </c>
      <c r="M639" s="133" t="s">
        <v>3174</v>
      </c>
      <c r="N639" s="133" t="s">
        <v>3175</v>
      </c>
      <c r="O639" s="133" t="s">
        <v>3176</v>
      </c>
      <c r="P639" s="133" t="s">
        <v>3177</v>
      </c>
      <c r="Q639" s="133" t="s">
        <v>3178</v>
      </c>
      <c r="R639" s="325" t="s">
        <v>4282</v>
      </c>
    </row>
    <row r="640" spans="2:18">
      <c r="B640" s="182" t="str">
        <f t="shared" si="28"/>
        <v>Foil</v>
      </c>
      <c r="M640" s="133" t="s">
        <v>933</v>
      </c>
      <c r="N640" s="133" t="s">
        <v>933</v>
      </c>
      <c r="O640" s="133" t="s">
        <v>1141</v>
      </c>
      <c r="P640" s="133" t="s">
        <v>1142</v>
      </c>
      <c r="Q640" s="133" t="s">
        <v>1437</v>
      </c>
      <c r="R640" s="325" t="s">
        <v>4080</v>
      </c>
    </row>
    <row r="641" spans="2:18" ht="97.5">
      <c r="B641" s="182" t="str">
        <f t="shared" si="28"/>
        <v>Frames without glass are delivered disassembled.</v>
      </c>
      <c r="M641" s="205" t="s">
        <v>2262</v>
      </c>
      <c r="N641" s="205" t="s">
        <v>2261</v>
      </c>
      <c r="O641" s="205" t="s">
        <v>2263</v>
      </c>
      <c r="P641" s="211" t="s">
        <v>2264</v>
      </c>
      <c r="Q641" s="233" t="s">
        <v>2329</v>
      </c>
      <c r="R641" s="325" t="s">
        <v>4283</v>
      </c>
    </row>
    <row r="642" spans="2:18" ht="74.25" customHeight="1">
      <c r="B642" s="182" t="str">
        <f t="shared" si="28"/>
        <v>The max. recommended size is 1500 x 600 mm. When ordering a larger size, the glass can slide out of the profile. The manufacturer is not responsible for such complaints.</v>
      </c>
      <c r="M642" s="203" t="s">
        <v>2270</v>
      </c>
      <c r="N642" s="219" t="s">
        <v>2272</v>
      </c>
      <c r="O642" s="203" t="s">
        <v>2273</v>
      </c>
      <c r="P642" s="218" t="s">
        <v>2271</v>
      </c>
      <c r="Q642" s="203" t="s">
        <v>2274</v>
      </c>
      <c r="R642" s="330" t="s">
        <v>4284</v>
      </c>
    </row>
    <row r="643" spans="2:18">
      <c r="B643" s="182">
        <f t="shared" si="28"/>
        <v>0</v>
      </c>
      <c r="R643" s="325"/>
    </row>
    <row r="644" spans="2:18">
      <c r="B644" s="182">
        <f t="shared" si="28"/>
        <v>0</v>
      </c>
      <c r="M644" s="34" t="s">
        <v>2575</v>
      </c>
      <c r="N644" s="34" t="s">
        <v>2575</v>
      </c>
      <c r="O644" s="34" t="s">
        <v>2576</v>
      </c>
      <c r="P644" t="s">
        <v>2577</v>
      </c>
      <c r="R644" t="s">
        <v>4285</v>
      </c>
    </row>
    <row r="645" spans="2:18">
      <c r="B645" s="182">
        <f t="shared" si="28"/>
        <v>0</v>
      </c>
      <c r="M645" s="34" t="s">
        <v>2578</v>
      </c>
      <c r="N645" s="34" t="s">
        <v>2578</v>
      </c>
      <c r="O645" s="34" t="s">
        <v>2579</v>
      </c>
      <c r="P645" t="s">
        <v>2580</v>
      </c>
      <c r="R645" t="s">
        <v>4286</v>
      </c>
    </row>
    <row r="646" spans="2:18">
      <c r="B646" s="182">
        <f t="shared" si="28"/>
        <v>0</v>
      </c>
      <c r="M646" s="34" t="s">
        <v>2581</v>
      </c>
      <c r="N646" s="34" t="s">
        <v>2581</v>
      </c>
      <c r="O646" s="34" t="s">
        <v>2582</v>
      </c>
      <c r="P646" t="s">
        <v>2580</v>
      </c>
      <c r="R646" t="s">
        <v>4287</v>
      </c>
    </row>
    <row r="647" spans="2:18">
      <c r="B647" s="182">
        <f t="shared" si="28"/>
        <v>0</v>
      </c>
      <c r="M647" s="34" t="s">
        <v>2583</v>
      </c>
      <c r="N647" s="34" t="s">
        <v>2583</v>
      </c>
      <c r="O647" s="34" t="s">
        <v>2584</v>
      </c>
      <c r="P647" t="s">
        <v>2585</v>
      </c>
      <c r="R647" t="s">
        <v>4288</v>
      </c>
    </row>
    <row r="648" spans="2:18">
      <c r="B648" s="182">
        <f t="shared" si="28"/>
        <v>0</v>
      </c>
      <c r="M648" s="34" t="s">
        <v>2586</v>
      </c>
      <c r="N648" s="34" t="s">
        <v>2586</v>
      </c>
      <c r="O648" s="34" t="s">
        <v>2587</v>
      </c>
      <c r="P648" t="s">
        <v>2588</v>
      </c>
      <c r="R648" t="s">
        <v>4289</v>
      </c>
    </row>
    <row r="649" spans="2:18">
      <c r="B649" s="182">
        <f t="shared" si="28"/>
        <v>0</v>
      </c>
      <c r="M649" s="34" t="s">
        <v>2589</v>
      </c>
      <c r="N649" s="34" t="s">
        <v>2589</v>
      </c>
      <c r="O649" s="34" t="s">
        <v>2590</v>
      </c>
      <c r="P649" t="s">
        <v>2591</v>
      </c>
      <c r="R649" t="s">
        <v>4290</v>
      </c>
    </row>
    <row r="650" spans="2:18">
      <c r="B650" s="182">
        <f t="shared" si="28"/>
        <v>0</v>
      </c>
      <c r="M650" s="34" t="s">
        <v>2592</v>
      </c>
      <c r="N650" s="34" t="s">
        <v>2592</v>
      </c>
      <c r="O650" s="34" t="s">
        <v>2593</v>
      </c>
      <c r="P650" t="s">
        <v>2594</v>
      </c>
      <c r="R650" t="s">
        <v>4291</v>
      </c>
    </row>
    <row r="651" spans="2:18">
      <c r="B651" s="182">
        <f t="shared" si="28"/>
        <v>0</v>
      </c>
      <c r="M651" t="s">
        <v>2595</v>
      </c>
      <c r="N651" t="s">
        <v>2595</v>
      </c>
      <c r="O651" t="s">
        <v>2596</v>
      </c>
      <c r="P651" t="s">
        <v>2597</v>
      </c>
      <c r="R651" t="s">
        <v>4292</v>
      </c>
    </row>
    <row r="652" spans="2:18">
      <c r="R652" s="325"/>
    </row>
    <row r="653" spans="2:18">
      <c r="B653" s="182" t="str">
        <f t="shared" ref="B653:B654" si="29">IF($D$1=1,M653,IF($D$1=2,N653,IF($D$1=3,O653,IF($D$1=4,P653,IF($D$1=5,Q653,IF($D$1=6,R653,0))))))</f>
        <v>Mesh frame filler</v>
      </c>
      <c r="M653" s="133" t="s">
        <v>2277</v>
      </c>
      <c r="N653" s="133" t="s">
        <v>2383</v>
      </c>
      <c r="O653" s="133" t="s">
        <v>2514</v>
      </c>
      <c r="P653" s="229" t="s">
        <v>4319</v>
      </c>
      <c r="Q653" s="133" t="s">
        <v>4320</v>
      </c>
      <c r="R653" t="s">
        <v>4321</v>
      </c>
    </row>
    <row r="654" spans="2:18">
      <c r="B654" s="182" t="str">
        <f t="shared" si="29"/>
        <v>max. dimension 1000x500</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Mesh type</v>
      </c>
      <c r="M656" s="133" t="s">
        <v>2286</v>
      </c>
      <c r="N656" s="133" t="s">
        <v>2287</v>
      </c>
      <c r="O656" s="133" t="s">
        <v>2288</v>
      </c>
      <c r="P656" s="133" t="s">
        <v>2289</v>
      </c>
      <c r="Q656" s="133" t="s">
        <v>2290</v>
      </c>
      <c r="R656" t="s">
        <v>4294</v>
      </c>
    </row>
    <row r="657" spans="2:18">
      <c r="B657" s="182" t="str">
        <f t="shared" si="30"/>
        <v>Halfoverlay and inset is not possible</v>
      </c>
      <c r="M657" s="133" t="s">
        <v>2370</v>
      </c>
      <c r="N657" s="133" t="s">
        <v>2370</v>
      </c>
      <c r="O657" s="133" t="s">
        <v>2371</v>
      </c>
      <c r="P657" s="133" t="s">
        <v>2372</v>
      </c>
      <c r="Q657" s="133" t="s">
        <v>2373</v>
      </c>
      <c r="R657" t="s">
        <v>4295</v>
      </c>
    </row>
    <row r="658" spans="2:18">
      <c r="B658" s="182" t="str">
        <f t="shared" si="30"/>
        <v>Edge finishing</v>
      </c>
      <c r="M658" s="133" t="s">
        <v>1435</v>
      </c>
      <c r="N658" s="133" t="s">
        <v>2384</v>
      </c>
      <c r="O658" s="133" t="s">
        <v>2385</v>
      </c>
      <c r="P658" s="133" t="s">
        <v>2387</v>
      </c>
      <c r="Q658" s="133" t="s">
        <v>2386</v>
      </c>
      <c r="R658" t="s">
        <v>4296</v>
      </c>
    </row>
    <row r="659" spans="2:18">
      <c r="B659" s="182" t="str">
        <f t="shared" si="30"/>
        <v>StrongLift_upper</v>
      </c>
      <c r="M659" t="s">
        <v>2505</v>
      </c>
      <c r="N659" t="s">
        <v>2516</v>
      </c>
      <c r="O659" t="s">
        <v>2515</v>
      </c>
      <c r="P659" t="s">
        <v>2518</v>
      </c>
      <c r="Q659" t="s">
        <v>2519</v>
      </c>
      <c r="R659" t="s">
        <v>4176</v>
      </c>
    </row>
    <row r="660" spans="2:18">
      <c r="B660" s="182" t="str">
        <f t="shared" si="30"/>
        <v>StrongLift_bottom</v>
      </c>
      <c r="M660" t="s">
        <v>2506</v>
      </c>
      <c r="N660" t="s">
        <v>2517</v>
      </c>
      <c r="O660" t="s">
        <v>2520</v>
      </c>
      <c r="P660" t="s">
        <v>2521</v>
      </c>
      <c r="Q660" t="s">
        <v>2522</v>
      </c>
      <c r="R660" t="s">
        <v>4177</v>
      </c>
    </row>
    <row r="661" spans="2:18">
      <c r="B661" s="182" t="str">
        <f t="shared" si="30"/>
        <v>corpus hinge</v>
      </c>
      <c r="M661" s="133" t="s">
        <v>2523</v>
      </c>
      <c r="N661" s="133" t="s">
        <v>2524</v>
      </c>
      <c r="O661" s="133" t="s">
        <v>2525</v>
      </c>
      <c r="P661" s="133" t="s">
        <v>2535</v>
      </c>
      <c r="Q661" s="133" t="s">
        <v>2526</v>
      </c>
      <c r="R661" t="s">
        <v>4150</v>
      </c>
    </row>
    <row r="662" spans="2:18">
      <c r="B662" s="182" t="str">
        <f t="shared" si="30"/>
        <v>soft-closing</v>
      </c>
      <c r="M662" t="s">
        <v>1063</v>
      </c>
      <c r="N662" t="s">
        <v>2527</v>
      </c>
      <c r="O662" s="133" t="s">
        <v>2528</v>
      </c>
      <c r="P662" s="133" t="s">
        <v>3541</v>
      </c>
      <c r="Q662" t="s">
        <v>2529</v>
      </c>
      <c r="R662" t="s">
        <v>4149</v>
      </c>
    </row>
    <row r="663" spans="2:18">
      <c r="B663" s="182" t="str">
        <f t="shared" si="30"/>
        <v>upper</v>
      </c>
      <c r="M663" s="175" t="s">
        <v>3012</v>
      </c>
      <c r="N663" s="175" t="s">
        <v>3013</v>
      </c>
      <c r="O663" s="133" t="s">
        <v>2530</v>
      </c>
      <c r="P663" t="s">
        <v>2532</v>
      </c>
      <c r="Q663" s="133" t="s">
        <v>2534</v>
      </c>
      <c r="R663" t="s">
        <v>4189</v>
      </c>
    </row>
    <row r="664" spans="2:18">
      <c r="B664" s="182" t="str">
        <f t="shared" si="30"/>
        <v>bottom</v>
      </c>
      <c r="M664" t="s">
        <v>425</v>
      </c>
      <c r="N664" t="s">
        <v>3014</v>
      </c>
      <c r="O664" t="s">
        <v>2531</v>
      </c>
      <c r="P664" t="s">
        <v>2533</v>
      </c>
      <c r="Q664" t="s">
        <v>1367</v>
      </c>
      <c r="R664" t="s">
        <v>4151</v>
      </c>
    </row>
    <row r="665" spans="2:18">
      <c r="B665" s="182" t="str">
        <f t="shared" si="30"/>
        <v>Narrow ALU Frame</v>
      </c>
      <c r="M665" s="175" t="s">
        <v>456</v>
      </c>
      <c r="N665" s="133" t="s">
        <v>2536</v>
      </c>
      <c r="O665" s="133" t="s">
        <v>251</v>
      </c>
      <c r="P665" s="133" t="s">
        <v>313</v>
      </c>
      <c r="Q665" s="133" t="s">
        <v>1356</v>
      </c>
      <c r="R665" t="s">
        <v>4152</v>
      </c>
    </row>
    <row r="666" spans="2:18">
      <c r="B666" s="182" t="str">
        <f t="shared" si="30"/>
        <v>Wide ALU Frame</v>
      </c>
      <c r="M666" s="175" t="s">
        <v>455</v>
      </c>
      <c r="N666" s="133" t="s">
        <v>455</v>
      </c>
      <c r="O666" s="133" t="s">
        <v>252</v>
      </c>
      <c r="P666" s="133" t="s">
        <v>314</v>
      </c>
      <c r="Q666" s="133" t="s">
        <v>1357</v>
      </c>
      <c r="R666" t="s">
        <v>4153</v>
      </c>
    </row>
    <row r="667" spans="2:18">
      <c r="R667"/>
    </row>
    <row r="668" spans="2:18">
      <c r="B668" s="182" t="str">
        <f t="shared" si="30"/>
        <v>You have exceeded the maximum size of the glass</v>
      </c>
      <c r="M668" s="133" t="s">
        <v>2559</v>
      </c>
      <c r="N668" s="133" t="s">
        <v>2560</v>
      </c>
      <c r="O668" s="133" t="s">
        <v>2561</v>
      </c>
      <c r="P668" s="133" t="s">
        <v>2563</v>
      </c>
      <c r="Q668" s="133" t="s">
        <v>2562</v>
      </c>
      <c r="R668" t="s">
        <v>4297</v>
      </c>
    </row>
    <row r="669" spans="2:18">
      <c r="B669" s="182" t="str">
        <f t="shared" si="30"/>
        <v>transparency 50%</v>
      </c>
      <c r="M669" s="133" t="s">
        <v>3037</v>
      </c>
      <c r="N669" s="133" t="s">
        <v>3039</v>
      </c>
      <c r="O669" s="133" t="s">
        <v>3041</v>
      </c>
      <c r="P669" s="133" t="s">
        <v>3043</v>
      </c>
      <c r="Q669" s="133" t="s">
        <v>3045</v>
      </c>
      <c r="R669" t="s">
        <v>4298</v>
      </c>
    </row>
    <row r="670" spans="2:18">
      <c r="B670" s="182" t="str">
        <f t="shared" si="30"/>
        <v>transparency 67%</v>
      </c>
      <c r="M670" s="133" t="s">
        <v>3038</v>
      </c>
      <c r="N670" s="133" t="s">
        <v>3040</v>
      </c>
      <c r="O670" s="133" t="s">
        <v>3042</v>
      </c>
      <c r="P670" s="133" t="s">
        <v>3044</v>
      </c>
      <c r="Q670" s="133" t="s">
        <v>3046</v>
      </c>
      <c r="R670" t="s">
        <v>4081</v>
      </c>
    </row>
    <row r="671" spans="2:18">
      <c r="B671" s="182" t="str">
        <f t="shared" si="30"/>
        <v>When taking over the delivery, the buyer is obliged to check the goods and record any obvious transport damage in the protocol together with the courier; otherwise, such a claim may be rejected.</v>
      </c>
      <c r="M671" s="133" t="s">
        <v>4431</v>
      </c>
      <c r="N671" s="133" t="s">
        <v>4432</v>
      </c>
      <c r="O671" s="133" t="s">
        <v>4434</v>
      </c>
      <c r="P671" s="133" t="s">
        <v>4433</v>
      </c>
      <c r="Q671" s="133" t="s">
        <v>4435</v>
      </c>
      <c r="R671" s="133" t="s">
        <v>4436</v>
      </c>
    </row>
    <row r="680" spans="2:18">
      <c r="B680" s="182" t="str">
        <f t="shared" ref="B680:B694" si="31">IF($D$1=1,M680,IF($D$1=2,N680,IF($D$1=3,O680,IF($D$1=4,P680,IF($D$1=5,Q680,IF($D$1=6,R680,0))))))</f>
        <v>Conditions and recomendations for correct ordering aluminium frames</v>
      </c>
      <c r="M680" s="1" t="s">
        <v>2600</v>
      </c>
      <c r="N680" t="s">
        <v>2601</v>
      </c>
      <c r="O680" t="s">
        <v>3560</v>
      </c>
      <c r="P680" t="s">
        <v>2602</v>
      </c>
      <c r="Q680" s="133" t="s">
        <v>2603</v>
      </c>
      <c r="R680" t="s">
        <v>4299</v>
      </c>
    </row>
    <row r="681" spans="2:18">
      <c r="B681" s="182" t="str">
        <f t="shared" si="31"/>
        <v>General recomendations:</v>
      </c>
      <c r="M681" s="1" t="s">
        <v>2604</v>
      </c>
      <c r="N681" t="s">
        <v>2605</v>
      </c>
      <c r="O681" t="s">
        <v>2644</v>
      </c>
      <c r="P681" t="s">
        <v>2606</v>
      </c>
      <c r="Q681" s="133" t="s">
        <v>2607</v>
      </c>
      <c r="R681" t="s">
        <v>4300</v>
      </c>
    </row>
    <row r="682" spans="2:18">
      <c r="B682" s="182" t="str">
        <f t="shared" si="31"/>
        <v>Fill in the form step by step from up towards down.</v>
      </c>
      <c r="M682" s="1" t="s">
        <v>2608</v>
      </c>
      <c r="N682" t="s">
        <v>2609</v>
      </c>
      <c r="O682" t="s">
        <v>3562</v>
      </c>
      <c r="P682" t="s">
        <v>2610</v>
      </c>
      <c r="Q682" s="133" t="s">
        <v>2611</v>
      </c>
      <c r="R682" t="s">
        <v>4301</v>
      </c>
    </row>
    <row r="683" spans="2:18">
      <c r="B683" s="182" t="str">
        <f t="shared" si="31"/>
        <v>If you make any change, you have to continue again from this changed item</v>
      </c>
      <c r="M683" s="1" t="s">
        <v>2612</v>
      </c>
      <c r="N683" t="s">
        <v>2613</v>
      </c>
      <c r="O683" t="s">
        <v>3563</v>
      </c>
      <c r="P683" t="s">
        <v>2614</v>
      </c>
      <c r="Q683" s="133" t="s">
        <v>2615</v>
      </c>
      <c r="R683" t="s">
        <v>4302</v>
      </c>
    </row>
    <row r="684" spans="2:18">
      <c r="B684" s="182" t="str">
        <f t="shared" si="31"/>
        <v>Before you order, make sure that the form contains only the desired frames</v>
      </c>
      <c r="M684" s="1" t="s">
        <v>2616</v>
      </c>
      <c r="N684" t="s">
        <v>2617</v>
      </c>
      <c r="O684" t="s">
        <v>3564</v>
      </c>
      <c r="P684" t="s">
        <v>2618</v>
      </c>
      <c r="Q684" s="133" t="s">
        <v>2619</v>
      </c>
      <c r="R684" t="s">
        <v>4303</v>
      </c>
    </row>
    <row r="685" spans="2:18">
      <c r="B685" s="182" t="str">
        <f t="shared" si="31"/>
        <v>Usual delivery is maximaly three weeks. For precise date please contact our Customers service</v>
      </c>
      <c r="M685" s="1" t="s">
        <v>2620</v>
      </c>
      <c r="N685" t="s">
        <v>2621</v>
      </c>
      <c r="O685" t="s">
        <v>3573</v>
      </c>
      <c r="P685" t="s">
        <v>2622</v>
      </c>
      <c r="Q685" s="133" t="s">
        <v>2623</v>
      </c>
      <c r="R685" t="s">
        <v>4304</v>
      </c>
    </row>
    <row r="686" spans="2:18">
      <c r="B686" s="182" t="str">
        <f t="shared" si="31"/>
        <v>Practical information:</v>
      </c>
      <c r="M686" s="1" t="s">
        <v>2624</v>
      </c>
      <c r="N686" t="s">
        <v>2625</v>
      </c>
      <c r="O686" t="s">
        <v>2645</v>
      </c>
      <c r="P686" t="s">
        <v>2626</v>
      </c>
      <c r="Q686" s="133" t="s">
        <v>2627</v>
      </c>
      <c r="R686" t="s">
        <v>4305</v>
      </c>
    </row>
    <row r="687" spans="2:18">
      <c r="B687" s="182" t="str">
        <f t="shared" si="31"/>
        <v>For bigger frames then 2500mm we recomend to use middle profiles, otherwise there is a risk of bending profile or glass may get loose.</v>
      </c>
      <c r="M687" s="1" t="s">
        <v>2628</v>
      </c>
      <c r="N687" t="s">
        <v>2629</v>
      </c>
      <c r="O687" t="s">
        <v>2646</v>
      </c>
      <c r="P687" t="s">
        <v>2630</v>
      </c>
      <c r="Q687" s="133" t="s">
        <v>2631</v>
      </c>
      <c r="R687" t="s">
        <v>4306</v>
      </c>
    </row>
    <row r="688" spans="2:18">
      <c r="B688" s="182" t="str">
        <f t="shared" si="31"/>
        <v>An extra fee may be charged when ordering frames larger than 1200 x 800 mm. For more information please contact our Customer service</v>
      </c>
      <c r="M688" s="1" t="s">
        <v>2632</v>
      </c>
      <c r="N688" t="s">
        <v>2633</v>
      </c>
      <c r="O688" t="s">
        <v>2647</v>
      </c>
      <c r="P688" t="s">
        <v>2634</v>
      </c>
      <c r="Q688" s="133" t="s">
        <v>2635</v>
      </c>
      <c r="R688" t="s">
        <v>4307</v>
      </c>
    </row>
    <row r="689" spans="2:18">
      <c r="B689" s="182" t="str">
        <f t="shared" si="31"/>
        <v>Steel mesh is normally turned horizantaly. Shall the holes in the mesh be turned verticaly, make a note.</v>
      </c>
      <c r="M689" s="1" t="s">
        <v>2636</v>
      </c>
      <c r="N689" t="s">
        <v>2637</v>
      </c>
      <c r="O689" t="s">
        <v>2648</v>
      </c>
      <c r="P689" t="s">
        <v>2638</v>
      </c>
      <c r="Q689" s="133" t="s">
        <v>2639</v>
      </c>
      <c r="R689" t="s">
        <v>4308</v>
      </c>
    </row>
    <row r="690" spans="2:18">
      <c r="B690" s="182" t="str">
        <f t="shared" si="31"/>
        <v>I understand and accept the conditions and recomendations above.</v>
      </c>
      <c r="M690" s="1" t="s">
        <v>2640</v>
      </c>
      <c r="N690" t="s">
        <v>2641</v>
      </c>
      <c r="O690" t="s">
        <v>2649</v>
      </c>
      <c r="P690" t="s">
        <v>2642</v>
      </c>
      <c r="Q690" s="133" t="s">
        <v>3726</v>
      </c>
      <c r="R690" t="s">
        <v>4309</v>
      </c>
    </row>
    <row r="691" spans="2:18" ht="23.45" customHeight="1">
      <c r="B691" s="182" t="str">
        <f t="shared" si="31"/>
        <v>Size of the frame does not match with maximal possible size of the glass or of the profile</v>
      </c>
      <c r="M691" s="203" t="s">
        <v>3284</v>
      </c>
      <c r="N691" s="133" t="s">
        <v>3287</v>
      </c>
      <c r="O691" s="133" t="s">
        <v>3285</v>
      </c>
      <c r="P691" s="133" t="s">
        <v>3288</v>
      </c>
      <c r="Q691" s="203" t="s">
        <v>3286</v>
      </c>
      <c r="R691" s="332" t="s">
        <v>4310</v>
      </c>
    </row>
    <row r="692" spans="2:18">
      <c r="B692" s="182" t="str">
        <f t="shared" si="31"/>
        <v>Price</v>
      </c>
      <c r="M692" s="175" t="s">
        <v>1196</v>
      </c>
      <c r="N692" s="133" t="s">
        <v>1196</v>
      </c>
      <c r="O692" s="133" t="s">
        <v>259</v>
      </c>
      <c r="P692" s="133" t="s">
        <v>3282</v>
      </c>
      <c r="Q692" s="133" t="s">
        <v>3283</v>
      </c>
      <c r="R692" t="s">
        <v>4311</v>
      </c>
    </row>
    <row r="693" spans="2:18">
      <c r="B693" s="182" t="str">
        <f t="shared" si="31"/>
        <v>Total price of fittings</v>
      </c>
      <c r="M693" s="133" t="s">
        <v>3582</v>
      </c>
      <c r="N693" s="133" t="s">
        <v>3583</v>
      </c>
      <c r="O693" s="133" t="s">
        <v>212</v>
      </c>
      <c r="P693" s="133" t="s">
        <v>3584</v>
      </c>
      <c r="Q693" s="133" t="s">
        <v>1442</v>
      </c>
      <c r="R693" t="s">
        <v>4312</v>
      </c>
    </row>
    <row r="694" spans="2:18">
      <c r="B694" s="182" t="str">
        <f t="shared" si="31"/>
        <v>The color of the profile and the mesh may vary due to tolerances in the production process.</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Discount</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Main page</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Conditions and recomendations for correct ordering aluminium frames</v>
      </c>
    </row>
    <row r="6" spans="1:23" ht="11.1" customHeight="1">
      <c r="B6" s="237"/>
    </row>
    <row r="7" spans="1:23" ht="18" customHeight="1">
      <c r="B7" s="244" t="str">
        <f>'Translate&amp;Prices&amp;Logo'!B681</f>
        <v>General recomendations:</v>
      </c>
    </row>
    <row r="8" spans="1:23" ht="15" customHeight="1">
      <c r="B8" s="1" t="str">
        <f>'Translate&amp;Prices&amp;Logo'!$B$302</f>
        <v>Always use the current version of the form available on our web pages.</v>
      </c>
    </row>
    <row r="9" spans="1:23" ht="15" customHeight="1">
      <c r="B9" s="12" t="str">
        <f>'Translate&amp;Prices&amp;Logo'!B682</f>
        <v>Fill in the form step by step from up towards down.</v>
      </c>
    </row>
    <row r="10" spans="1:23">
      <c r="B10" s="12" t="str">
        <f>'Translate&amp;Prices&amp;Logo'!B683</f>
        <v>If you make any change, you have to continue again from this changed item</v>
      </c>
      <c r="C10" s="236"/>
      <c r="D10" s="236"/>
      <c r="E10" s="236"/>
      <c r="F10" s="236"/>
      <c r="G10" s="236"/>
      <c r="H10" s="236"/>
      <c r="I10" s="236"/>
      <c r="J10" s="236"/>
      <c r="K10" s="236"/>
      <c r="L10" s="236"/>
      <c r="M10" s="236"/>
      <c r="N10" s="236"/>
      <c r="O10" s="236"/>
      <c r="P10" s="236"/>
    </row>
    <row r="11" spans="1:23">
      <c r="B11" s="12" t="str">
        <f>'Translate&amp;Prices&amp;Logo'!B684</f>
        <v>Before you order, make sure that the form contains only the desired frames</v>
      </c>
    </row>
    <row r="12" spans="1:23" ht="15" customHeight="1">
      <c r="B12" s="236" t="str">
        <f>'Translate&amp;Prices&amp;Logo'!$B$314&amp;" "&amp;'Translate&amp;Prices&amp;Logo'!$B$315</f>
        <v>Send your filled order to ordering@demos-trade.com</v>
      </c>
      <c r="C12" s="236"/>
      <c r="D12" s="236"/>
      <c r="E12" s="236"/>
      <c r="F12" s="236"/>
      <c r="G12" s="236"/>
      <c r="H12" s="236"/>
      <c r="I12" s="236"/>
      <c r="J12" s="236"/>
      <c r="K12" s="236"/>
      <c r="L12" s="236"/>
      <c r="M12" s="236"/>
    </row>
    <row r="13" spans="1:23" ht="30" customHeight="1">
      <c r="B13" s="576" t="str">
        <f>'Translate&amp;Prices&amp;Logo'!B685</f>
        <v>Usual delivery is maximaly three weeks. For precise date please contact our Customers service</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When taking over the delivery, the buyer is obliged to check the goods and record any obvious transport damage in the protocol together with the courier; otherwise, such a claim may be rejected.</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Prices shown are VAT-free and do not include price of the fittings required!</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Warning:</v>
      </c>
      <c r="C17" s="578"/>
      <c r="D17" s="578"/>
    </row>
    <row r="18" spans="2:20" ht="15" customHeight="1">
      <c r="B18" s="1" t="str">
        <f>'Translate&amp;Prices&amp;Logo'!$B$301</f>
        <v>To attach the fitting to the ALU frame, designated screws should be used (e.g. code 13681).</v>
      </c>
    </row>
    <row r="19" spans="2:20" ht="15" customHeight="1">
      <c r="B19" s="1" t="str">
        <f>'Translate&amp;Prices&amp;Logo'!$B$331</f>
        <v>If the Handle is fixed through glass, a distance washer must always be used (e.g. 144516, 191970, C0315)</v>
      </c>
    </row>
    <row r="20" spans="2:20"/>
    <row r="21" spans="2:20">
      <c r="B21" s="1" t="str">
        <f>'Translate&amp;Prices&amp;Logo'!$B$311</f>
        <v>The maximum recommended frame size is 2500 x 1250 mm (1500 x 600 mm in the case of glued glass frames, e.g. Corleone)</v>
      </c>
    </row>
    <row r="22" spans="2:20" ht="30" customHeight="1">
      <c r="B22" s="573" t="str">
        <f>'Translate&amp;Prices&amp;Logo'!B687</f>
        <v>For bigger frames then 2500mm we recomend to use middle profiles, otherwise there is a risk of bending profile or glass may get loose.</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For oversize frames (over 1200 x 800 mm), extra special packaging and transport may be charged (more informattion at the customer centre).</v>
      </c>
      <c r="C23" s="573"/>
      <c r="D23" s="573"/>
      <c r="E23" s="573"/>
      <c r="F23" s="573"/>
      <c r="G23" s="573"/>
      <c r="H23" s="573"/>
      <c r="I23" s="573"/>
      <c r="J23" s="573"/>
      <c r="K23" s="573"/>
      <c r="L23" s="573"/>
      <c r="M23" s="573"/>
      <c r="N23" s="573"/>
      <c r="O23" s="573"/>
      <c r="P23" s="573"/>
      <c r="Q23" s="573"/>
      <c r="R23" s="573"/>
      <c r="S23" s="573"/>
    </row>
    <row r="24" spans="2:20">
      <c r="B24" s="1" t="str">
        <f>'Translate&amp;Prices&amp;Logo'!$B$300</f>
        <v>Claims for damage cannot be accepted if the frame has already been fitted.</v>
      </c>
    </row>
    <row r="25" spans="2:20">
      <c r="B25" s="1" t="str">
        <f>'Translate&amp;Prices&amp;Logo'!$B$689</f>
        <v>Steel mesh is normally turned horizantaly. Shall the holes in the mesh be turned verticaly, make a note.</v>
      </c>
    </row>
    <row r="26" spans="2:20">
      <c r="B26" s="242" t="str">
        <f>'Translate&amp;Prices&amp;Logo'!B694</f>
        <v>The color of the profile and the mesh may vary due to tolerances in the production process.</v>
      </c>
    </row>
    <row r="27" spans="2:20" ht="30" customHeight="1" thickBot="1">
      <c r="B27" s="244" t="str">
        <f>'Translate&amp;Prices&amp;Logo'!$B$690</f>
        <v>I understand and accept the conditions and recomendations above.</v>
      </c>
    </row>
    <row r="28" spans="2:20">
      <c r="B28" s="243"/>
      <c r="M28" s="574"/>
    </row>
    <row r="29" spans="2:20" ht="15.75" thickBot="1">
      <c r="B29" s="243"/>
      <c r="M29" s="575"/>
    </row>
    <row r="30" spans="2:20" ht="6.75" customHeight="1"/>
    <row r="31" spans="2:20" ht="15" customHeight="1">
      <c r="B31" s="498" t="str">
        <f>"&lt;"&amp;" "&amp;'Translate&amp;Prices&amp;Logo'!$B$574</f>
        <v>&lt; Back</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Top</v>
      </c>
      <c r="AP2" t="str">
        <f>'Translate&amp;Prices&amp;Logo'!B229</f>
        <v>Right</v>
      </c>
      <c r="BQ2" t="str">
        <f>'Translate&amp;Prices&amp;Logo'!$B$551</f>
        <v>Hinges</v>
      </c>
      <c r="BR2" t="str">
        <f>'Translate&amp;Prices&amp;Logo'!$B$552</f>
        <v>Lifts</v>
      </c>
      <c r="BW2" t="str">
        <f>'Translate&amp;Prices&amp;Logo'!$B$230</f>
        <v>Left</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Bottom</v>
      </c>
      <c r="AP3" t="str">
        <f>'Translate&amp;Prices&amp;Logo'!B230</f>
        <v>Left</v>
      </c>
      <c r="BQ3" t="s">
        <v>984</v>
      </c>
      <c r="BR3" t="s">
        <v>954</v>
      </c>
      <c r="BW3" t="str">
        <f>'Translate&amp;Prices&amp;Logo'!$B$229</f>
        <v>Right</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Right</v>
      </c>
      <c r="BQ4" t="s">
        <v>954</v>
      </c>
      <c r="BR4" t="s">
        <v>976</v>
      </c>
      <c r="BW4" t="str">
        <f>'Translate&amp;Prices&amp;Logo'!$B$227</f>
        <v>Top</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Left</v>
      </c>
      <c r="BQ5" t="s">
        <v>2440</v>
      </c>
      <c r="BR5" t="s">
        <v>2503</v>
      </c>
      <c r="BW5" t="str">
        <f>'Translate&amp;Prices&amp;Logo'!$B$228</f>
        <v>Bottom</v>
      </c>
      <c r="CG5" t="s">
        <v>2573</v>
      </c>
      <c r="CH5" t="s">
        <v>2574</v>
      </c>
      <c r="CI5" t="str">
        <f>CONCATENATE("blum ",'Translate&amp;Prices&amp;Logo'!B662," 118033")</f>
        <v>blum soft-closing 118033</v>
      </c>
      <c r="CJ5" t="str">
        <f>CONCATENATE("blum ",'Translate&amp;Prices&amp;Logo'!B662," 12047")</f>
        <v>blum soft-closing 12047</v>
      </c>
      <c r="CK5" t="s">
        <v>2512</v>
      </c>
      <c r="CL5" t="s">
        <v>2513</v>
      </c>
      <c r="CM5" t="s">
        <v>2512</v>
      </c>
      <c r="CN5" t="s">
        <v>2513</v>
      </c>
      <c r="CO5" t="s">
        <v>2512</v>
      </c>
      <c r="CP5" t="s">
        <v>2513</v>
      </c>
      <c r="CQ5" t="str">
        <f>CONCATENATE("hettich ",'Translate&amp;Prices&amp;Logo'!B664," 300282")</f>
        <v>hettich bottom 300282</v>
      </c>
      <c r="CR5" t="str">
        <f>CONCATENATE("hettich ",'Translate&amp;Prices&amp;Logo'!B664," 232346")</f>
        <v>hettich bottom 232346</v>
      </c>
      <c r="CS5" t="str">
        <f>CONCATENATE("hettich ",'Translate&amp;Prices&amp;Logo'!B664," 300282")</f>
        <v>hettich bottom 300282</v>
      </c>
      <c r="CT5" t="str">
        <f>CONCATENATE("hettich ",'Translate&amp;Prices&amp;Logo'!B664," 232346")</f>
        <v>hettich bottom 232346</v>
      </c>
      <c r="CU5" t="s">
        <v>2512</v>
      </c>
      <c r="CV5" t="s">
        <v>2513</v>
      </c>
      <c r="CW5" t="s">
        <v>1076</v>
      </c>
      <c r="CX5" t="s">
        <v>1090</v>
      </c>
      <c r="CY5" t="s">
        <v>2512</v>
      </c>
      <c r="CZ5" t="s">
        <v>2513</v>
      </c>
      <c r="DA5" t="s">
        <v>1076</v>
      </c>
      <c r="DB5" t="s">
        <v>1090</v>
      </c>
      <c r="DC5" t="str">
        <f>CONCATENATE("hettich ",'Translate&amp;Prices&amp;Logo'!B664," 300282")</f>
        <v>hettich bottom 300282</v>
      </c>
      <c r="DD5" t="s">
        <v>1090</v>
      </c>
      <c r="DE5" t="str">
        <f>CONCATENATE("hettich ",'Translate&amp;Prices&amp;Logo'!B664," 300282")</f>
        <v>hettich bottom 300282</v>
      </c>
      <c r="DF5" t="s">
        <v>1090</v>
      </c>
      <c r="DG5" t="s">
        <v>2512</v>
      </c>
      <c r="DH5" t="s">
        <v>2513</v>
      </c>
      <c r="DI5" t="s">
        <v>2512</v>
      </c>
      <c r="DJ5" t="s">
        <v>2513</v>
      </c>
      <c r="DK5" t="str">
        <f>CONCATENATE("hettich ",'Translate&amp;Prices&amp;Logo'!B664," 300282")</f>
        <v>hettich bottom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soft-closing 12047</v>
      </c>
      <c r="CK6" t="str">
        <f>CONCATENATE("hettich ",'Translate&amp;Prices&amp;Logo'!B662," 300279")</f>
        <v>hettich soft-closing 300279</v>
      </c>
      <c r="CL6" t="str">
        <f>CONCATENATE("hettich ",'Translate&amp;Prices&amp;Logo'!B662," 104717")</f>
        <v>hettich soft-closing 104717</v>
      </c>
      <c r="CM6" t="str">
        <f>CONCATENATE("hettich ",'Translate&amp;Prices&amp;Logo'!B662," 300279")</f>
        <v>hettich soft-closing 300279</v>
      </c>
      <c r="CN6" t="str">
        <f>CONCATENATE("hettich ",'Translate&amp;Prices&amp;Logo'!B662," 104717")</f>
        <v>hettich soft-closing 104717</v>
      </c>
      <c r="CO6" t="str">
        <f>CONCATENATE("hettich ",'Translate&amp;Prices&amp;Logo'!B662," 300279")</f>
        <v>hettich soft-closing 300279</v>
      </c>
      <c r="CP6" t="str">
        <f>CONCATENATE("hettich ",'Translate&amp;Prices&amp;Logo'!B662," 104717")</f>
        <v>hettich soft-closing 104717</v>
      </c>
      <c r="CQ6" t="str">
        <f>CONCATENATE("hettich ",'Translate&amp;Prices&amp;Logo'!B663," 300279")</f>
        <v>hettich upper 300279</v>
      </c>
      <c r="CR6" t="str">
        <f>CONCATENATE("hettich ",'Translate&amp;Prices&amp;Logo'!B663," 104717")</f>
        <v>hettich upper 104717</v>
      </c>
      <c r="CS6" t="str">
        <f>CONCATENATE("hettich ",'Translate&amp;Prices&amp;Logo'!B663," 300279")</f>
        <v>hettich upper 300279</v>
      </c>
      <c r="CT6" t="str">
        <f>CONCATENATE("hettich ",'Translate&amp;Prices&amp;Logo'!B663," 104717")</f>
        <v>hettich upper 104717</v>
      </c>
      <c r="CU6" t="str">
        <f>CONCATENATE("hettich ",'Translate&amp;Prices&amp;Logo'!B662," 300279")</f>
        <v>hettich soft-closing 300279</v>
      </c>
      <c r="CV6" t="str">
        <f>CONCATENATE("hettich ",'Translate&amp;Prices&amp;Logo'!B662," 104717")</f>
        <v>hettich soft-closing 104717</v>
      </c>
      <c r="CW6" t="s">
        <v>1078</v>
      </c>
      <c r="CX6" t="s">
        <v>1084</v>
      </c>
      <c r="CY6" t="str">
        <f>CONCATENATE("hettich ",'Translate&amp;Prices&amp;Logo'!B662," 300279")</f>
        <v>hettich soft-closing 300279</v>
      </c>
      <c r="CZ6" t="str">
        <f>CONCATENATE("hettich ",'Translate&amp;Prices&amp;Logo'!B662," 104717")</f>
        <v>hettich soft-closing 104717</v>
      </c>
      <c r="DA6" t="s">
        <v>1078</v>
      </c>
      <c r="DB6" t="s">
        <v>1084</v>
      </c>
      <c r="DC6" t="str">
        <f>CONCATENATE("blum ",'Translate&amp;Prices&amp;Logo'!B664," 12106")</f>
        <v>blum bottom 12106</v>
      </c>
      <c r="DD6" t="str">
        <f>CONCATENATE("hettich ",'Translate&amp;Prices&amp;Logo'!B664," 232346")</f>
        <v>hettich bottom 232346</v>
      </c>
      <c r="DE6" t="str">
        <f>CONCATENATE("blum ",'Translate&amp;Prices&amp;Logo'!B664," 12106")</f>
        <v>blum bottom 12106</v>
      </c>
      <c r="DF6" t="str">
        <f>CONCATENATE("hettich ",'Translate&amp;Prices&amp;Logo'!B664," 232346")</f>
        <v>hettich bottom 232346</v>
      </c>
      <c r="DG6" t="s">
        <v>1333</v>
      </c>
      <c r="DH6" t="str">
        <f>CONCATENATE("hettich ",'Translate&amp;Prices&amp;Logo'!B662," 104717")</f>
        <v>hettich soft-closing 104717</v>
      </c>
      <c r="DI6" t="str">
        <f>CONCATENATE("hettich ",'Translate&amp;Prices&amp;Logo'!B662," 300279")</f>
        <v>hettich soft-closing 300279</v>
      </c>
      <c r="DJ6" t="str">
        <f>CONCATENATE("hettich ",'Translate&amp;Prices&amp;Logo'!B662," 104717")</f>
        <v>hettich soft-closing 104717</v>
      </c>
      <c r="DK6" t="str">
        <f>CONCATENATE("blum ",'Translate&amp;Prices&amp;Logo'!B664," 12106")</f>
        <v>blum bottom 12106</v>
      </c>
      <c r="DL6" t="str">
        <f>CONCATENATE("hettich ",'Translate&amp;Prices&amp;Logo'!B664," 232346")</f>
        <v>hettich bottom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soft-closing 12047</v>
      </c>
      <c r="CK7" t="s">
        <v>1058</v>
      </c>
      <c r="CL7" t="s">
        <v>1067</v>
      </c>
      <c r="CM7" t="s">
        <v>1058</v>
      </c>
      <c r="CN7" t="s">
        <v>1067</v>
      </c>
      <c r="CO7" t="s">
        <v>1058</v>
      </c>
      <c r="CP7" t="s">
        <v>1067</v>
      </c>
      <c r="CQ7" t="str">
        <f>CONCATENATE("blum ",'Translate&amp;Prices&amp;Logo'!B664," 12106")</f>
        <v>blum bottom 12106</v>
      </c>
      <c r="CR7" t="str">
        <f>CONCATENATE("blum ",'Translate&amp;Prices&amp;Logo'!B664," 12052")</f>
        <v>blum bottom 12052</v>
      </c>
      <c r="CS7" t="str">
        <f>CONCATENATE("blum ",'Translate&amp;Prices&amp;Logo'!B664," 12106")</f>
        <v>blum bottom 12106</v>
      </c>
      <c r="CT7" t="str">
        <f>CONCATENATE("blum ",'Translate&amp;Prices&amp;Logo'!B664," 12052")</f>
        <v>blum bottom 12052</v>
      </c>
      <c r="CU7" t="s">
        <v>1058</v>
      </c>
      <c r="CV7" t="s">
        <v>1067</v>
      </c>
      <c r="CW7" t="s">
        <v>4458</v>
      </c>
      <c r="CX7" t="s">
        <v>1086</v>
      </c>
      <c r="CY7" t="s">
        <v>1058</v>
      </c>
      <c r="CZ7" t="s">
        <v>1067</v>
      </c>
      <c r="DA7" t="s">
        <v>4458</v>
      </c>
      <c r="DB7" t="s">
        <v>1086</v>
      </c>
      <c r="DC7" t="str">
        <f>CONCATENATE("strong ",'Translate&amp;Prices&amp;Logo'!B664," 92584T")</f>
        <v>strong bottom 92584T</v>
      </c>
      <c r="DD7" t="str">
        <f>CONCATENATE("blum ",'Translate&amp;Prices&amp;Logo'!B664," 12052")</f>
        <v>blum bottom 12052</v>
      </c>
      <c r="DE7" t="str">
        <f>CONCATENATE("strong ",'Translate&amp;Prices&amp;Logo'!B664," 92584T")</f>
        <v>strong bottom 92584T</v>
      </c>
      <c r="DF7" t="str">
        <f>CONCATENATE("blum ",'Translate&amp;Prices&amp;Logo'!B664," 12052")</f>
        <v>blum bottom 12052</v>
      </c>
      <c r="DG7" t="s">
        <v>1058</v>
      </c>
      <c r="DH7" t="s">
        <v>1067</v>
      </c>
      <c r="DI7" t="s">
        <v>1058</v>
      </c>
      <c r="DJ7" t="s">
        <v>1067</v>
      </c>
      <c r="DK7" t="str">
        <f>CONCATENATE("strong ",'Translate&amp;Prices&amp;Logo'!B664," 92584T")</f>
        <v>strong bottom 92584T</v>
      </c>
      <c r="DL7" t="str">
        <f>CONCATENATE("blum ",'Translate&amp;Prices&amp;Logo'!B664," 12052")</f>
        <v>blum bottom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soft-closing 12047</v>
      </c>
      <c r="CK8" t="s">
        <v>1061</v>
      </c>
      <c r="CL8" t="str">
        <f>CONCATENATE("blum ",'Translate&amp;Prices&amp;Logo'!B662," 12047")</f>
        <v>blum soft-closing 12047</v>
      </c>
      <c r="CM8" t="s">
        <v>1061</v>
      </c>
      <c r="CN8" t="str">
        <f>CONCATENATE("blum ",'Translate&amp;Prices&amp;Logo'!B662," 12047")</f>
        <v>blum soft-closing 12047</v>
      </c>
      <c r="CO8" t="s">
        <v>1061</v>
      </c>
      <c r="CP8" t="str">
        <f>CONCATENATE("blum ",'Translate&amp;Prices&amp;Logo'!B662," 12047")</f>
        <v>blum soft-closing 12047</v>
      </c>
      <c r="CQ8" t="str">
        <f>CONCATENATE("strong ",'Translate&amp;Prices&amp;Logo'!B664," 92584T")</f>
        <v>strong bottom 92584T</v>
      </c>
      <c r="CR8" t="str">
        <f>CONCATENATE("blum ",'Translate&amp;Prices&amp;Logo'!B663," 12047")</f>
        <v>blum upper 12047</v>
      </c>
      <c r="CS8" t="str">
        <f>CONCATENATE("strong ",'Translate&amp;Prices&amp;Logo'!B664," 92584T")</f>
        <v>strong bottom 92584T</v>
      </c>
      <c r="CT8" t="str">
        <f>CONCATENATE("blum ",'Translate&amp;Prices&amp;Logo'!B663," 12047")</f>
        <v>blum upper 12047</v>
      </c>
      <c r="CU8" t="s">
        <v>1061</v>
      </c>
      <c r="CV8" t="str">
        <f>CONCATENATE("blum ",'Translate&amp;Prices&amp;Logo'!B662," 12047")</f>
        <v>blum soft-closing 12047</v>
      </c>
      <c r="CW8" t="s">
        <v>4458</v>
      </c>
      <c r="CX8" t="s">
        <v>1088</v>
      </c>
      <c r="CY8" t="s">
        <v>1061</v>
      </c>
      <c r="CZ8" t="str">
        <f>CONCATENATE("blum ",'Translate&amp;Prices&amp;Logo'!B662," 12047")</f>
        <v>blum soft-closing 12047</v>
      </c>
      <c r="DA8" t="s">
        <v>4458</v>
      </c>
      <c r="DB8" t="s">
        <v>1088</v>
      </c>
      <c r="DC8" t="str">
        <f>CONCATENATE("strong ",'Translate&amp;Prices&amp;Logo'!B664," 92584T")</f>
        <v>strong bottom 92584T</v>
      </c>
      <c r="DD8" t="str">
        <f>CONCATENATE("strong ",'Translate&amp;Prices&amp;Logo'!B664," 350834")</f>
        <v>strong bottom 350834</v>
      </c>
      <c r="DE8" t="str">
        <f>CONCATENATE("strong ",'Translate&amp;Prices&amp;Logo'!B664," 92584T")</f>
        <v>strong bottom 92584T</v>
      </c>
      <c r="DF8" t="str">
        <f>CONCATENATE("strong ",'Translate&amp;Prices&amp;Logo'!B664," 350834")</f>
        <v>strong bottom 350834</v>
      </c>
      <c r="DG8" t="s">
        <v>1061</v>
      </c>
      <c r="DH8" t="str">
        <f>CONCATENATE("blum ",'Translate&amp;Prices&amp;Logo'!B662," 12047")</f>
        <v>blum soft-closing 12047</v>
      </c>
      <c r="DI8" t="s">
        <v>1061</v>
      </c>
      <c r="DJ8" t="str">
        <f>CONCATENATE("blum ",'Translate&amp;Prices&amp;Logo'!B662," 12047")</f>
        <v>blum soft-closing 12047</v>
      </c>
      <c r="DK8" t="str">
        <f>CONCATENATE("strong ",'Translate&amp;Prices&amp;Logo'!B664," 92584T")</f>
        <v>strong bottom 92584T</v>
      </c>
      <c r="DL8" t="str">
        <f>CONCATENATE("strong ",'Translate&amp;Prices&amp;Logo'!B664," 350834")</f>
        <v>strong bottom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soft-closing 12047</v>
      </c>
      <c r="CK9" t="str">
        <f>CONCATENATE("strong ",'Translate&amp;Prices&amp;Logo'!B662," 92584T")</f>
        <v>strong soft-closing 92584T</v>
      </c>
      <c r="CL9" t="s">
        <v>1069</v>
      </c>
      <c r="CM9" t="str">
        <f>CONCATENATE("strong ",'Translate&amp;Prices&amp;Logo'!B662," 92584T")</f>
        <v>strong soft-closing 92584T</v>
      </c>
      <c r="CN9" t="s">
        <v>1069</v>
      </c>
      <c r="CO9" t="str">
        <f>CONCATENATE("strong ",'Translate&amp;Prices&amp;Logo'!B662," 92584T")</f>
        <v>strong soft-closing 92584T</v>
      </c>
      <c r="CP9" t="s">
        <v>1069</v>
      </c>
      <c r="CQ9" t="str">
        <f>CONCATENATE("strong ",'Translate&amp;Prices&amp;Logo'!B663," 92584T")</f>
        <v>strong upper 92584T</v>
      </c>
      <c r="CR9" t="str">
        <f>CONCATENATE("strong ",'Translate&amp;Prices&amp;Logo'!B664," 350834")</f>
        <v>strong bottom 350834</v>
      </c>
      <c r="CS9" t="str">
        <f>CONCATENATE("strong ",'Translate&amp;Prices&amp;Logo'!B663," 92584T")</f>
        <v>strong upper 92584T</v>
      </c>
      <c r="CT9" t="str">
        <f>CONCATENATE("strong ",'Translate&amp;Prices&amp;Logo'!B664," 350834")</f>
        <v>strong bottom 350834</v>
      </c>
      <c r="CU9" t="str">
        <f>CONCATENATE("strong ",'Translate&amp;Prices&amp;Logo'!B662," 92584T")</f>
        <v>strong soft-closing 92584T</v>
      </c>
      <c r="CV9" t="s">
        <v>1069</v>
      </c>
      <c r="CW9" t="s">
        <v>4458</v>
      </c>
      <c r="CX9" t="s">
        <v>1088</v>
      </c>
      <c r="CY9" t="str">
        <f>CONCATENATE("strong ",'Translate&amp;Prices&amp;Logo'!B662," 92584T")</f>
        <v>strong soft-closing 92584T</v>
      </c>
      <c r="CZ9" t="s">
        <v>1069</v>
      </c>
      <c r="DA9" t="s">
        <v>4458</v>
      </c>
      <c r="DB9" t="s">
        <v>1088</v>
      </c>
      <c r="DC9" t="str">
        <f>CONCATENATE("strong ",'Translate&amp;Prices&amp;Logo'!B664," 92584T")</f>
        <v>strong bottom 92584T</v>
      </c>
      <c r="DD9" t="str">
        <f>CONCATENATE("strong ",'Translate&amp;Prices&amp;Logo'!B664," 350834")</f>
        <v>strong bottom 350834</v>
      </c>
      <c r="DE9" t="str">
        <f>CONCATENATE("strong ",'Translate&amp;Prices&amp;Logo'!B664," 92584T")</f>
        <v>strong bottom 92584T</v>
      </c>
      <c r="DF9" t="str">
        <f>CONCATENATE("strong ",'Translate&amp;Prices&amp;Logo'!B664," 350834")</f>
        <v>strong bottom 350834</v>
      </c>
      <c r="DG9" t="s">
        <v>1337</v>
      </c>
      <c r="DH9" t="s">
        <v>1069</v>
      </c>
      <c r="DI9" t="str">
        <f>CONCATENATE("strong ",'Translate&amp;Prices&amp;Logo'!B662," 92584T")</f>
        <v>strong soft-closing 92584T</v>
      </c>
      <c r="DJ9" t="s">
        <v>1069</v>
      </c>
      <c r="DK9" t="str">
        <f>CONCATENATE("strong ",'Translate&amp;Prices&amp;Logo'!B664," 92584T")</f>
        <v>strong bottom 92584T</v>
      </c>
      <c r="DL9" t="str">
        <f>CONCATENATE("strong ",'Translate&amp;Prices&amp;Logo'!B664," 350834")</f>
        <v>strong bottom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soft-closing 12047</v>
      </c>
      <c r="CK10" t="str">
        <f>CONCATENATE("strong ",'Translate&amp;Prices&amp;Logo'!B662," 92584T")</f>
        <v>strong soft-closing 92584T</v>
      </c>
      <c r="CL10" t="str">
        <f>CONCATENATE("strong ",'Translate&amp;Prices&amp;Logo'!B662," 350827")</f>
        <v>strong soft-closing 350827</v>
      </c>
      <c r="CM10" t="str">
        <f>CONCATENATE("strong ",'Translate&amp;Prices&amp;Logo'!B662," 92584T")</f>
        <v>strong soft-closing 92584T</v>
      </c>
      <c r="CN10" t="str">
        <f>CONCATENATE("strong ",'Translate&amp;Prices&amp;Logo'!B662," 350827")</f>
        <v>strong soft-closing 350827</v>
      </c>
      <c r="CO10" t="str">
        <f>CONCATENATE("strong ",'Translate&amp;Prices&amp;Logo'!B662," 92584T")</f>
        <v>strong soft-closing 92584T</v>
      </c>
      <c r="CP10" t="str">
        <f>CONCATENATE("strong ",'Translate&amp;Prices&amp;Logo'!B662," 350827")</f>
        <v>strong soft-closing 350827</v>
      </c>
      <c r="CQ10" t="str">
        <f>CONCATENATE("strong ",'Translate&amp;Prices&amp;Logo'!B663," 92584T")</f>
        <v>strong upper 92584T</v>
      </c>
      <c r="CR10" t="str">
        <f>CONCATENATE("strong ",'Translate&amp;Prices&amp;Logo'!B663," 350827")</f>
        <v>strong upper 350827</v>
      </c>
      <c r="CS10" t="str">
        <f>CONCATENATE("strong ",'Translate&amp;Prices&amp;Logo'!B663," 92584T")</f>
        <v>strong upper 92584T</v>
      </c>
      <c r="CT10" t="str">
        <f>CONCATENATE("strong ",'Translate&amp;Prices&amp;Logo'!B663," 350827")</f>
        <v>strong upper 350827</v>
      </c>
      <c r="CU10" t="str">
        <f>CONCATENATE("strong ",'Translate&amp;Prices&amp;Logo'!B662," 92584T")</f>
        <v>strong soft-closing 92584T</v>
      </c>
      <c r="CV10" t="str">
        <f>CONCATENATE("strong ",'Translate&amp;Prices&amp;Logo'!B662," 350827")</f>
        <v>strong soft-closing 350827</v>
      </c>
      <c r="CW10" t="s">
        <v>4458</v>
      </c>
      <c r="CX10" t="s">
        <v>1088</v>
      </c>
      <c r="CY10" t="str">
        <f>CONCATENATE("strong ",'Translate&amp;Prices&amp;Logo'!B662," 92584T")</f>
        <v>strong soft-closing 92584T</v>
      </c>
      <c r="CZ10" t="str">
        <f>CONCATENATE("strong ",'Translate&amp;Prices&amp;Logo'!B662," 350827")</f>
        <v>strong soft-closing 350827</v>
      </c>
      <c r="DA10" t="s">
        <v>4458</v>
      </c>
      <c r="DB10" t="s">
        <v>1088</v>
      </c>
      <c r="DC10" t="str">
        <f>CONCATENATE("strong ",'Translate&amp;Prices&amp;Logo'!B664," 92584T")</f>
        <v>strong bottom 92584T</v>
      </c>
      <c r="DD10" t="str">
        <f>CONCATENATE("strong ",'Translate&amp;Prices&amp;Logo'!B664," 350834")</f>
        <v>strong bottom 350834</v>
      </c>
      <c r="DE10" t="str">
        <f>CONCATENATE("strong ",'Translate&amp;Prices&amp;Logo'!B664," 92584T")</f>
        <v>strong bottom 92584T</v>
      </c>
      <c r="DF10" t="str">
        <f>CONCATENATE("strong ",'Translate&amp;Prices&amp;Logo'!B664," 350834")</f>
        <v>strong bottom 350834</v>
      </c>
      <c r="DG10" t="s">
        <v>1337</v>
      </c>
      <c r="DH10" t="str">
        <f>CONCATENATE("strong ",'Translate&amp;Prices&amp;Logo'!B662," 350827")</f>
        <v>strong soft-closing 350827</v>
      </c>
      <c r="DI10" t="str">
        <f>CONCATENATE("strong ",'Translate&amp;Prices&amp;Logo'!B662," 92584T")</f>
        <v>strong soft-closing 92584T</v>
      </c>
      <c r="DJ10" t="str">
        <f>CONCATENATE("strong ",'Translate&amp;Prices&amp;Logo'!B662," 350827")</f>
        <v>strong soft-closing 350827</v>
      </c>
      <c r="DK10" t="str">
        <f>CONCATENATE("strong ",'Translate&amp;Prices&amp;Logo'!B664," 92584T")</f>
        <v>strong bottom 92584T</v>
      </c>
      <c r="DL10" t="str">
        <f>CONCATENATE("strong ",'Translate&amp;Prices&amp;Logo'!B664," 350834")</f>
        <v>strong bottom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mesh aluminum gold - field 10x6x1 mm</v>
      </c>
      <c r="B75" s="251" t="str">
        <f>'Translate&amp;Prices&amp;Logo'!B164</f>
        <v>mesh aluminum gold - field 10x6x1 mm</v>
      </c>
      <c r="C75" s="251" t="str">
        <f>'Translate&amp;Prices&amp;Logo'!B166</f>
        <v>mesh steel white - field 8x4x1 mm</v>
      </c>
      <c r="E75" s="251"/>
      <c r="F75" s="251"/>
      <c r="G75" s="251"/>
      <c r="H75" s="251"/>
      <c r="J75" s="251"/>
    </row>
    <row r="76" spans="1:29">
      <c r="A76" s="251" t="str">
        <f>'Translate&amp;Prices&amp;Logo'!B167</f>
        <v>mesh anodized - field 10x6x1 mm</v>
      </c>
      <c r="B76" s="251" t="str">
        <f>'Translate&amp;Prices&amp;Logo'!B167</f>
        <v>mesh anodized - field 10x6x1 mm</v>
      </c>
      <c r="D76" s="251"/>
      <c r="F76" s="251"/>
      <c r="G76" s="251"/>
    </row>
    <row r="77" spans="1:29">
      <c r="B77" s="251" t="str">
        <f>'Translate&amp;Prices&amp;Logo'!B165</f>
        <v>mesh steel black matt - field 8x4x1 mm</v>
      </c>
      <c r="D77" s="251"/>
      <c r="F77" s="251"/>
      <c r="G77" s="251"/>
    </row>
    <row r="80" spans="1:29">
      <c r="A80" t="s">
        <v>2296</v>
      </c>
      <c r="H80" s="251"/>
    </row>
    <row r="81" spans="1:9">
      <c r="A81" s="251" t="str">
        <f>'Translate&amp;Prices&amp;Logo'!$B$13</f>
        <v>BRW gold - maximum profile length 2500 mm</v>
      </c>
      <c r="B81" t="s">
        <v>3723</v>
      </c>
      <c r="C81" s="437"/>
      <c r="D81" s="437"/>
      <c r="E81" s="437"/>
      <c r="F81" s="437"/>
      <c r="G81" s="437"/>
      <c r="H81" s="437"/>
      <c r="I81" s="437"/>
    </row>
    <row r="82" spans="1:9">
      <c r="A82" s="251" t="str">
        <f>'Translate&amp;Prices&amp;Logo'!$B$6</f>
        <v>BRW (elox.) - maximum profile length 2500 mm</v>
      </c>
      <c r="B82" t="s">
        <v>3724</v>
      </c>
      <c r="C82" s="437"/>
      <c r="D82" s="438"/>
      <c r="E82" s="438"/>
      <c r="F82" s="438"/>
      <c r="G82" s="438"/>
      <c r="H82" s="438"/>
      <c r="I82" s="438"/>
    </row>
    <row r="83" spans="1:9">
      <c r="A83" s="251" t="str">
        <f>'Translate&amp;Prices&amp;Logo'!$B$12</f>
        <v>BRW black matt - maximum profile length 2500 mm</v>
      </c>
      <c r="B83" t="s">
        <v>3724</v>
      </c>
      <c r="C83" s="437"/>
      <c r="D83" s="438"/>
      <c r="E83" s="438"/>
      <c r="F83" s="438"/>
      <c r="G83" s="438"/>
      <c r="H83" s="438"/>
      <c r="I83" s="438"/>
    </row>
    <row r="84" spans="1:9">
      <c r="A84" t="str">
        <f>'Translate&amp;Prices&amp;Logo'!$B$9</f>
        <v>BRW white gloss RAL 9003 - maximum profile length 2500 mm</v>
      </c>
      <c r="B84" s="251" t="s">
        <v>3725</v>
      </c>
      <c r="C84" s="437"/>
      <c r="D84" s="438"/>
      <c r="E84" s="438"/>
      <c r="F84" s="438"/>
      <c r="G84" s="438"/>
      <c r="H84" s="438"/>
      <c r="I84" s="438"/>
    </row>
    <row r="85" spans="1:9">
      <c r="A85" s="251" t="str">
        <f>'Translate&amp;Prices&amp;Logo'!$B$8</f>
        <v>BRW white matt RAL 9003 - maximum profile length 2500 mm</v>
      </c>
      <c r="B85" s="251" t="s">
        <v>3725</v>
      </c>
      <c r="C85" s="437"/>
      <c r="D85" s="438"/>
      <c r="E85" s="438"/>
      <c r="F85" s="438"/>
      <c r="G85" s="438"/>
      <c r="H85" s="438"/>
      <c r="I85" s="438"/>
    </row>
    <row r="86" spans="1:9">
      <c r="A86" s="252" t="str">
        <f>'Translate&amp;Prices&amp;Logo'!$B$31</f>
        <v>Vivaro gold - maximum profile length 2150 mm</v>
      </c>
      <c r="B86" t="s">
        <v>3723</v>
      </c>
      <c r="H86" s="251"/>
    </row>
    <row r="87" spans="1:9">
      <c r="A87" s="251" t="str">
        <f>'Translate&amp;Prices&amp;Logo'!$B$43</f>
        <v>Vivaro (elox.) - maximum profile length 2500 mm</v>
      </c>
      <c r="B87" t="s">
        <v>3724</v>
      </c>
      <c r="H87" s="251"/>
    </row>
    <row r="88" spans="1:9">
      <c r="A88" s="251" t="str">
        <f>'Translate&amp;Prices&amp;Logo'!$B$44</f>
        <v>Vivaro black matt - maximum profile length 2500 mm</v>
      </c>
      <c r="B88" t="s">
        <v>3724</v>
      </c>
      <c r="H88" s="251"/>
    </row>
    <row r="89" spans="1:9">
      <c r="A89" s="251" t="str">
        <f>'Translate&amp;Prices&amp;Logo'!$B$47</f>
        <v>Vivaro white matt RAL 9003 - maximum profile length 2500 mm</v>
      </c>
      <c r="B89" s="251" t="s">
        <v>3725</v>
      </c>
      <c r="H89" s="251"/>
    </row>
    <row r="90" spans="1:9">
      <c r="A90" t="str">
        <f>'Translate&amp;Prices&amp;Logo'!$B$48</f>
        <v>Vivaro white gloss RAL 9003 - maximum profile length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Transparent</v>
      </c>
      <c r="B96" t="str">
        <f>'Translate&amp;Prices&amp;Logo'!$B$115</f>
        <v>Mirror</v>
      </c>
      <c r="C96" t="str">
        <f>'Translate&amp;Prices&amp;Logo'!$B$99</f>
        <v>Transparent</v>
      </c>
      <c r="D96" t="str">
        <f>'Translate&amp;Prices&amp;Logo'!$B$627</f>
        <v>Invalid combination</v>
      </c>
      <c r="E96" t="str">
        <f>'Translate&amp;Prices&amp;Logo'!$B$115</f>
        <v>Mirror</v>
      </c>
      <c r="F96" t="str">
        <f>'Translate&amp;Prices&amp;Logo'!$B$115</f>
        <v>Mirror</v>
      </c>
    </row>
    <row r="97" spans="1:6">
      <c r="A97" t="str">
        <f>'Translate&amp;Prices&amp;Logo'!$B$104</f>
        <v>Satinato</v>
      </c>
      <c r="B97" t="str">
        <f>'Translate&amp;Prices&amp;Logo'!$B$116</f>
        <v>Mirror brown</v>
      </c>
      <c r="C97" t="str">
        <f>'Translate&amp;Prices&amp;Logo'!$B$161</f>
        <v>Optiwhite</v>
      </c>
      <c r="E97" t="str">
        <f>'Translate&amp;Prices&amp;Logo'!$B$116</f>
        <v>Mirror brown</v>
      </c>
      <c r="F97" t="str">
        <f>'Translate&amp;Prices&amp;Logo'!$B$116</f>
        <v>Mirror brown</v>
      </c>
    </row>
    <row r="98" spans="1:6">
      <c r="A98" t="str">
        <f>'Translate&amp;Prices&amp;Logo'!$B$106</f>
        <v>Satinato brown / Decormat Braz</v>
      </c>
      <c r="B98" t="str">
        <f>'Translate&amp;Prices&amp;Logo'!$B$117</f>
        <v>Mirror black</v>
      </c>
      <c r="C98" t="str">
        <f>'Translate&amp;Prices&amp;Logo'!$B$105</f>
        <v>MASTER SOFT</v>
      </c>
      <c r="E98" t="str">
        <f>'Translate&amp;Prices&amp;Logo'!$B$117</f>
        <v>Mirror black</v>
      </c>
      <c r="F98" t="str">
        <f>'Translate&amp;Prices&amp;Logo'!$B$117</f>
        <v>Mirror black</v>
      </c>
    </row>
    <row r="99" spans="1:6">
      <c r="A99" t="str">
        <f>'Translate&amp;Prices&amp;Logo'!$B$107</f>
        <v>Satinato graphite  / Decormat grafit</v>
      </c>
      <c r="B99" t="str">
        <f>'Translate&amp;Prices&amp;Logo'!$B$126</f>
        <v>Lacobel RAL 1013</v>
      </c>
      <c r="C99" t="str">
        <f>'Translate&amp;Prices&amp;Logo'!$B$118</f>
        <v>VISIOSUN horizont</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vertical</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sateen vertical</v>
      </c>
      <c r="E101" t="str">
        <f>'Translate&amp;Prices&amp;Logo'!$B$133</f>
        <v>Lacobel RAL 7035</v>
      </c>
      <c r="F101" t="str">
        <f>'Translate&amp;Prices&amp;Logo'!$B$133</f>
        <v>Lacobel RAL 7035</v>
      </c>
    </row>
    <row r="102" spans="1:6">
      <c r="A102" t="str">
        <f>'Translate&amp;Prices&amp;Logo'!$B$121</f>
        <v>Master  Ligne horizontal</v>
      </c>
      <c r="B102" t="str">
        <f>'Translate&amp;Prices&amp;Logo'!$B$135</f>
        <v>Lacobel RAL 9003</v>
      </c>
      <c r="C102" t="str">
        <f>'Translate&amp;Prices&amp;Logo'!$B$131</f>
        <v>VISIOSUN sateen horizont</v>
      </c>
      <c r="E102" t="str">
        <f>'Translate&amp;Prices&amp;Logo'!$B$135</f>
        <v>Lacobel RAL 9003</v>
      </c>
      <c r="F102" t="str">
        <f>'Translate&amp;Prices&amp;Logo'!$B$135</f>
        <v>Lacobel RAL 9003</v>
      </c>
    </row>
    <row r="103" spans="1:6">
      <c r="A103" t="str">
        <f>'Translate&amp;Prices&amp;Logo'!$B$125</f>
        <v>Master  Ligne vertical</v>
      </c>
      <c r="B103" t="str">
        <f>'Translate&amp;Prices&amp;Logo'!$B$136</f>
        <v>Lacobel RAL 9005</v>
      </c>
      <c r="C103" t="str">
        <f>'Translate&amp;Prices&amp;Logo'!$B$123</f>
        <v>FLUTES horizont</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vertical</v>
      </c>
      <c r="E104" t="str">
        <f>'Translate&amp;Prices&amp;Logo'!$B$137</f>
        <v>Lacobel RAL 9006</v>
      </c>
      <c r="F104" t="str">
        <f>'Translate&amp;Prices&amp;Logo'!$B$137</f>
        <v>Lacobel RAL 9006</v>
      </c>
    </row>
    <row r="105" spans="1:6">
      <c r="A105" t="str">
        <f>'Translate&amp;Prices&amp;Logo'!$B$108</f>
        <v>Masterscreen - maximum possible size 2160 x 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brown / Decormat Braz</v>
      </c>
      <c r="E106" t="str">
        <f>'Translate&amp;Prices&amp;Logo'!$B$139</f>
        <v>Lacobel RAL 9010</v>
      </c>
      <c r="F106" t="str">
        <f>'Translate&amp;Prices&amp;Logo'!$B$139</f>
        <v>Lacobel RAL 9010</v>
      </c>
    </row>
    <row r="107" spans="1:6">
      <c r="A107" t="str">
        <f>'Translate&amp;Prices&amp;Logo'!$B$110</f>
        <v>Stopsol bronze  - maximum possible size 2250 x 1605 mm</v>
      </c>
      <c r="B107" t="str">
        <f>'Translate&amp;Prices&amp;Logo'!$B$154</f>
        <v xml:space="preserve">Matelac RAL 9003 </v>
      </c>
      <c r="C107" t="str">
        <f>'Translate&amp;Prices&amp;Logo'!$B$107</f>
        <v>Satinato graphite  / Decormat grafit</v>
      </c>
      <c r="E107" t="str">
        <f>'Translate&amp;Prices&amp;Logo'!$B$154</f>
        <v xml:space="preserve">Matelac RAL 9003 </v>
      </c>
      <c r="F107" t="str">
        <f>'Translate&amp;Prices&amp;Logo'!$B$154</f>
        <v xml:space="preserve">Matelac RAL 9003 </v>
      </c>
    </row>
    <row r="108" spans="1:6">
      <c r="A108" t="str">
        <f>'Translate&amp;Prices&amp;Logo'!$B$113</f>
        <v>Antisol bronze</v>
      </c>
      <c r="B108" t="str">
        <f>'Translate&amp;Prices&amp;Logo'!$B$155</f>
        <v xml:space="preserve">Matelac RAL 9005 </v>
      </c>
      <c r="C108" t="str">
        <f>'Translate&amp;Prices&amp;Logo'!$B$108</f>
        <v>Masterscreen - maximum possible size 2160 x 1650 mm</v>
      </c>
      <c r="E108" t="str">
        <f>'Translate&amp;Prices&amp;Logo'!$B$155</f>
        <v xml:space="preserve">Matelac RAL 9005 </v>
      </c>
      <c r="F108" t="str">
        <f>'Translate&amp;Prices&amp;Logo'!$B$155</f>
        <v xml:space="preserve">Matelac RAL 9005 </v>
      </c>
    </row>
    <row r="109" spans="1:6">
      <c r="A109" t="str">
        <f>'Translate&amp;Prices&amp;Logo'!$B$114</f>
        <v>Antisol graphite</v>
      </c>
      <c r="B109" t="str">
        <f>'Translate&amp;Prices&amp;Logo'!$B$160</f>
        <v>Matelac mirror bronze</v>
      </c>
      <c r="C109" t="str">
        <f>'Translate&amp;Prices&amp;Logo'!$B$109</f>
        <v>Venus VG10</v>
      </c>
      <c r="E109" t="str">
        <f>'Translate&amp;Prices&amp;Logo'!$B$160</f>
        <v>Matelac mirror bronze</v>
      </c>
      <c r="F109" t="str">
        <f>'Translate&amp;Prices&amp;Logo'!$B$160</f>
        <v>Matelac mirror bronze</v>
      </c>
    </row>
    <row r="110" spans="1:6">
      <c r="A110" t="str">
        <f>'Translate&amp;Prices&amp;Logo'!$B$115</f>
        <v>Mirror</v>
      </c>
      <c r="B110" t="str">
        <f>'Translate&amp;Prices&amp;Logo'!$B$162</f>
        <v>Matelac mirror graphite</v>
      </c>
      <c r="C110" t="str">
        <f>'Translate&amp;Prices&amp;Logo'!$B$110</f>
        <v>Stopsol bronze  - maximum possible size 2250 x 1605 mm</v>
      </c>
      <c r="E110" t="str">
        <f>'Translate&amp;Prices&amp;Logo'!$B$162</f>
        <v>Matelac mirror graphite</v>
      </c>
      <c r="F110" t="str">
        <f>'Translate&amp;Prices&amp;Logo'!$B$162</f>
        <v>Matelac mirror graphite</v>
      </c>
    </row>
    <row r="111" spans="1:6">
      <c r="A111" t="str">
        <f>'Translate&amp;Prices&amp;Logo'!$B$116</f>
        <v>Mirror brown</v>
      </c>
      <c r="B111" t="str">
        <f>'Translate&amp;Prices&amp;Logo'!$B$163</f>
        <v>Matelac mirror silver.</v>
      </c>
      <c r="C111" t="str">
        <f>'Translate&amp;Prices&amp;Logo'!$B$113</f>
        <v>Antisol bronze</v>
      </c>
      <c r="E111" t="str">
        <f>'Translate&amp;Prices&amp;Logo'!$B$163</f>
        <v>Matelac mirror silver.</v>
      </c>
      <c r="F111" t="str">
        <f>'Translate&amp;Prices&amp;Logo'!$B$163</f>
        <v>Matelac mirror silver.</v>
      </c>
    </row>
    <row r="112" spans="1:6">
      <c r="A112" t="str">
        <f>'Translate&amp;Prices&amp;Logo'!$B$117</f>
        <v>Mirror black</v>
      </c>
      <c r="C112" t="str">
        <f>'Translate&amp;Prices&amp;Logo'!$B$114</f>
        <v>Antisol graphite</v>
      </c>
    </row>
    <row r="113" spans="1:3">
      <c r="A113" t="str">
        <f>'Translate&amp;Prices&amp;Logo'!$B$118</f>
        <v>VISIOSUN horizont</v>
      </c>
      <c r="C113" t="str">
        <f>'Translate&amp;Prices&amp;Logo'!$B$119</f>
        <v>Krizet  - maximum possible size 2130 x 1650 mm</v>
      </c>
    </row>
    <row r="114" spans="1:3">
      <c r="A114" t="str">
        <f>'Translate&amp;Prices&amp;Logo'!$B$129</f>
        <v>VISIOSUN vertical</v>
      </c>
      <c r="C114" t="str">
        <f>'Translate&amp;Prices&amp;Logo'!$B$120</f>
        <v>Master (Carre)</v>
      </c>
    </row>
    <row r="115" spans="1:3">
      <c r="A115" t="str">
        <f>'Translate&amp;Prices&amp;Logo'!$B$131</f>
        <v>VISIOSUN sateen horizont</v>
      </c>
      <c r="C115" t="str">
        <f>'Translate&amp;Prices&amp;Logo'!$B$121</f>
        <v>Master  Ligne horizontal</v>
      </c>
    </row>
    <row r="116" spans="1:3">
      <c r="A116" t="str">
        <f>'Translate&amp;Prices&amp;Logo'!$B$130</f>
        <v>VISIOSUN sateen vertical</v>
      </c>
      <c r="C116" t="str">
        <f>'Translate&amp;Prices&amp;Logo'!$B$125</f>
        <v>Master  Ligne vertical</v>
      </c>
    </row>
    <row r="117" spans="1:3">
      <c r="A117" t="str">
        <f>'Translate&amp;Prices&amp;Logo'!$B$119</f>
        <v>Krizet  - maximum possible size 2130 x 1650 mm</v>
      </c>
      <c r="C117" t="str">
        <f>'Translate&amp;Prices&amp;Logo'!$B$122</f>
        <v>Master Point</v>
      </c>
    </row>
    <row r="118" spans="1:3">
      <c r="A118" t="str">
        <f>'Translate&amp;Prices&amp;Logo'!$B$128</f>
        <v>FLUTES vertical</v>
      </c>
      <c r="C118" t="str">
        <f>'Translate&amp;Prices&amp;Logo'!$B$140</f>
        <v>Moru brown vertical</v>
      </c>
    </row>
    <row r="119" spans="1:3">
      <c r="A119" t="str">
        <f>'Translate&amp;Prices&amp;Logo'!$B$123</f>
        <v>FLUTES horizont</v>
      </c>
      <c r="C119" t="str">
        <f>'Translate&amp;Prices&amp;Logo'!$B$141</f>
        <v xml:space="preserve">Moru graphite vertical </v>
      </c>
    </row>
    <row r="120" spans="1:3">
      <c r="A120" t="str">
        <f>'Translate&amp;Prices&amp;Logo'!$B$111</f>
        <v>Lacomatt</v>
      </c>
      <c r="C120" t="str">
        <f>'Translate&amp;Prices&amp;Logo'!$B$144</f>
        <v>Moru brown horizontal</v>
      </c>
    </row>
    <row r="121" spans="1:3">
      <c r="A121" t="str">
        <f>'Translate&amp;Prices&amp;Logo'!$B$126</f>
        <v>Lacobel RAL 1013</v>
      </c>
      <c r="C121" t="str">
        <f>'Translate&amp;Prices&amp;Logo'!$B$145</f>
        <v>Moru graphite horizontal</v>
      </c>
    </row>
    <row r="122" spans="1:3">
      <c r="A122" t="str">
        <f>'Translate&amp;Prices&amp;Logo'!$B$127</f>
        <v>Lacobel RAL 1015</v>
      </c>
    </row>
    <row r="123" spans="1:3">
      <c r="A123" t="str">
        <f>'Translate&amp;Prices&amp;Logo'!$B$133</f>
        <v>Lacobel RAL 7035</v>
      </c>
    </row>
    <row r="124" spans="1:3">
      <c r="A124" t="str">
        <f>'Translate&amp;Prices&amp;Logo'!$B$135</f>
        <v>Lacobel RAL 9003</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 xml:space="preserve">Matelac RAL 9003 </v>
      </c>
    </row>
    <row r="130" spans="1:1">
      <c r="A130" t="str">
        <f>'Translate&amp;Prices&amp;Logo'!$B$155</f>
        <v xml:space="preserve">Matelac RAL 9005 </v>
      </c>
    </row>
    <row r="131" spans="1:1">
      <c r="A131" t="str">
        <f>'Translate&amp;Prices&amp;Logo'!$B$160</f>
        <v>Matelac mirror bronze</v>
      </c>
    </row>
    <row r="132" spans="1:1">
      <c r="A132" t="str">
        <f>'Translate&amp;Prices&amp;Logo'!$B$162</f>
        <v>Matelac mirror graphite</v>
      </c>
    </row>
    <row r="133" spans="1:1">
      <c r="A133" t="str">
        <f>'Translate&amp;Prices&amp;Logo'!$B$163</f>
        <v>Matelac mirror silver.</v>
      </c>
    </row>
    <row r="134" spans="1:1">
      <c r="A134" t="str">
        <f>'Translate&amp;Prices&amp;Logo'!$B$161</f>
        <v>Optiwhite</v>
      </c>
    </row>
    <row r="135" spans="1:1">
      <c r="A135" t="str">
        <f>'Translate&amp;Prices&amp;Logo'!$B$140</f>
        <v>Moru brown vertical</v>
      </c>
    </row>
    <row r="136" spans="1:1">
      <c r="A136" t="str">
        <f>'Translate&amp;Prices&amp;Logo'!$B$141</f>
        <v xml:space="preserve">Moru graphite vertical </v>
      </c>
    </row>
    <row r="137" spans="1:1">
      <c r="A137" t="str">
        <f>'Translate&amp;Prices&amp;Logo'!$B$144</f>
        <v>Moru brown horizontal</v>
      </c>
    </row>
    <row r="138" spans="1:1">
      <c r="A138" t="str">
        <f>'Translate&amp;Prices&amp;Logo'!$B$145</f>
        <v>Moru graphite horizontal</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Frame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Main page</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Frame  1</v>
      </c>
      <c r="C5" s="634"/>
      <c r="D5" s="634"/>
      <c r="E5" s="106"/>
      <c r="F5" s="634" t="str">
        <f>'Translate&amp;Prices&amp;Logo'!$B$169&amp;" "&amp;" "&amp;2</f>
        <v>Frame  2</v>
      </c>
      <c r="G5" s="634"/>
      <c r="H5" s="634"/>
      <c r="I5" s="9"/>
      <c r="J5" s="634" t="str">
        <f>'Translate&amp;Prices&amp;Logo'!$B$169&amp;" "&amp;" "&amp;3</f>
        <v>Frame  3</v>
      </c>
      <c r="K5" s="634"/>
      <c r="L5" s="634"/>
      <c r="M5" s="9"/>
      <c r="N5" s="634" t="str">
        <f>'Translate&amp;Prices&amp;Logo'!$B$169&amp;" "&amp;" "&amp;4</f>
        <v>Frame  4</v>
      </c>
      <c r="O5" s="634"/>
      <c r="P5" s="634"/>
      <c r="Q5" s="9"/>
      <c r="R5" s="634" t="str">
        <f>'Translate&amp;Prices&amp;Logo'!$B$169&amp;" "&amp;" "&amp;5</f>
        <v>Frame  5</v>
      </c>
      <c r="S5" s="634"/>
      <c r="T5" s="634"/>
      <c r="U5" s="9"/>
      <c r="V5" s="634" t="str">
        <f>'Translate&amp;Prices&amp;Logo'!$B$169&amp;" "&amp;" "&amp;6</f>
        <v>Frame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Combination of 2 Profiles</v>
      </c>
      <c r="C7" s="667"/>
      <c r="D7" s="667"/>
      <c r="E7" s="667"/>
      <c r="F7" s="667"/>
      <c r="G7" s="616" t="str">
        <f>IF(kombinace_1!FC2=TRUE,AB4,"")</f>
        <v/>
      </c>
      <c r="H7" s="616"/>
      <c r="I7" s="616"/>
      <c r="J7" s="616"/>
      <c r="K7" s="616"/>
      <c r="L7" s="616"/>
      <c r="M7" s="616"/>
      <c r="N7" s="616"/>
      <c r="O7" s="616"/>
      <c r="P7" s="616"/>
      <c r="Q7" s="617"/>
      <c r="R7" s="231"/>
      <c r="S7" s="602" t="str">
        <f>'Translate&amp;Prices&amp;Logo'!$B$572</f>
        <v>Warning:</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Mesh frame filler</v>
      </c>
      <c r="C8" s="224"/>
      <c r="D8" s="224"/>
      <c r="E8" s="225" t="str">
        <f>'Translate&amp;Prices&amp;Logo'!$B$172</f>
        <v>Type of profile</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Distance from the left edge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Pitch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Distance from the top edge</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Dividing bars (Quantity)</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Type of fittings</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Fittings brand</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Pitch  mm</v>
      </c>
      <c r="AE14" s="592"/>
      <c r="AF14" s="9"/>
      <c r="AG14" s="9"/>
      <c r="AH14" s="9"/>
      <c r="AI14" s="60"/>
      <c r="AJ14" s="61"/>
      <c r="AK14" s="9"/>
      <c r="AL14" s="9"/>
      <c r="AM14" s="629" t="str">
        <f>('Translate&amp;Prices&amp;Logo'!$B$548)&amp;" "&amp;H26&amp;" "&amp;"mm"</f>
        <v>Pitch  mm</v>
      </c>
      <c r="AN14" s="9"/>
      <c r="AO14" s="81"/>
      <c r="AP14" s="74"/>
      <c r="AQ14" s="314"/>
      <c r="AR14" s="676"/>
      <c r="AS14" s="9"/>
      <c r="AT14" s="146"/>
      <c r="AU14" s="140"/>
      <c r="AV14" s="140"/>
      <c r="AW14" s="165" t="s">
        <v>2201</v>
      </c>
    </row>
    <row r="15" spans="1:65" ht="18" customHeight="1" thickBot="1">
      <c r="A15" s="61"/>
      <c r="B15" s="585" t="str">
        <f>'Translate&amp;Prices&amp;Logo'!$B$545</f>
        <v>Fittings variant</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Select Frame Position</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Second door type</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Distance from the bottom edge</v>
      </c>
      <c r="AM19" s="629"/>
      <c r="AN19" s="620">
        <v>0</v>
      </c>
      <c r="AO19" s="620"/>
      <c r="AP19" s="76"/>
      <c r="AQ19" s="314"/>
      <c r="AR19" s="675" t="str">
        <f>'Translate&amp;Prices&amp;Logo'!$B$176</f>
        <v>Height</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Type of glass</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Do not change after you make a choice type of glass/mesh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Type of foil</v>
      </c>
      <c r="C24" s="615"/>
      <c r="D24" s="615"/>
      <c r="E24" s="615"/>
      <c r="F24" s="615"/>
      <c r="G24" s="98"/>
      <c r="H24" s="631"/>
      <c r="I24" s="631"/>
      <c r="J24" s="631"/>
      <c r="K24" s="631"/>
      <c r="L24" s="631"/>
      <c r="M24" s="631"/>
      <c r="N24" s="631"/>
      <c r="O24" s="631"/>
      <c r="P24" s="631"/>
      <c r="Q24" s="632"/>
      <c r="R24" s="61"/>
      <c r="S24" s="602" t="str">
        <f>'Translate&amp;Prices&amp;Logo'!$B$177</f>
        <v>Notes</v>
      </c>
      <c r="T24" s="602"/>
      <c r="U24" s="602"/>
      <c r="Z24" s="80"/>
      <c r="AA24" s="78"/>
      <c r="AB24" s="79"/>
      <c r="AC24" s="584" t="str">
        <f>'Translate&amp;Prices&amp;Logo'!$B$242</f>
        <v>Distance from the left edge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Type of glass/mesh</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Pitch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Handle diameter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Handle position</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Quantity</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Supply including specified fittings -&gt; select from list:</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Total price of frames</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v>
      </c>
      <c r="Q30" s="604"/>
      <c r="R30" s="61"/>
      <c r="S30" s="596"/>
      <c r="T30" s="597"/>
      <c r="U30" s="597"/>
      <c r="V30" s="597"/>
      <c r="W30" s="597"/>
      <c r="X30" s="597"/>
      <c r="Y30" s="598"/>
      <c r="Z30" s="9"/>
      <c r="AA30" s="9"/>
      <c r="AB30" s="61"/>
      <c r="AC30" s="9"/>
      <c r="AD30" s="9"/>
      <c r="AE30" s="9"/>
      <c r="AF30" s="625" t="str">
        <f>'Translate&amp;Prices&amp;Logo'!$B$175</f>
        <v>Width</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Summary</v>
      </c>
      <c r="AP31" s="674"/>
      <c r="AQ31" s="674"/>
      <c r="AR31" s="674"/>
      <c r="AS31" s="9"/>
      <c r="AT31" s="146"/>
      <c r="AU31" s="138" t="e">
        <f>AD44</f>
        <v>#N/A</v>
      </c>
    </row>
    <row r="32" spans="1:52" ht="17.25" customHeight="1">
      <c r="A32" s="61"/>
      <c r="B32" s="635" t="str">
        <f>'Translate&amp;Prices&amp;Logo'!$B$171</f>
        <v>Prices shown are VAT-free and do not include price of the fittings required!</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Frames without glass are delivered disassembled.</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maximum profile length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Hinges</v>
      </c>
      <c r="M36" s="157" t="str">
        <v>Lifts</v>
      </c>
      <c r="P36" s="157" t="str" cm="1">
        <f t="array" ref="P36:P38">IF(H13=kombinace_1!BQ11,kombinace_1!$DN$2,kombinace_1!$DN$2:$DN$4)</f>
        <v>Overlay</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white matt RAL 9003 - maximum profile length 2500 mm</v>
      </c>
      <c r="P37" s="157" t="e">
        <v>#N/A</v>
      </c>
      <c r="T37" s="157">
        <f ca="1"/>
        <v>0</v>
      </c>
      <c r="W37" s="157" t="str" cm="1">
        <f t="array" ref="W37:W38">IF(Hlavní!$V$39=3,"",'Translate&amp;Prices&amp;Logo'!B556:B557)</f>
        <v>Yes</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white gloss RAL 9003 - maximum profile length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No</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brushed - maximum profile length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black matt - maximum profile length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black brushed - maximum profile length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Light Stainless Steel (INOX ACIER gratta) - maximum profile length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anthracite RAL 7021 - maximum profile length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maximum profile length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maximum profile length 2500 mm</v>
      </c>
      <c r="M45" s="157" t="s">
        <v>2500</v>
      </c>
      <c r="N45" s="157" t="s">
        <v>1039</v>
      </c>
      <c r="AS45" s="133"/>
      <c r="AW45" s="255"/>
      <c r="AX45" s="255"/>
      <c r="AY45" s="255"/>
    </row>
    <row r="46" spans="1:58" s="157" customFormat="1" ht="14.85" hidden="1" customHeight="1">
      <c r="A46" s="140"/>
      <c r="B46" s="157" t="str">
        <v>BRW brown - maximum profile length 2500 mm</v>
      </c>
      <c r="M46" s="157" t="s">
        <v>4323</v>
      </c>
    </row>
    <row r="47" spans="1:58" s="157" customFormat="1" ht="14.85" hidden="1" customHeight="1">
      <c r="A47" s="140"/>
      <c r="B47" s="157" t="str">
        <v>BRW dark stainless steel (INOX LIJA)- maximum profile length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cashmere - maximum profile length 2500 mm</v>
      </c>
      <c r="T48" s="157" t="e">
        <f>VLOOKUP(AD42,kombinace_1!ER1:ES120,2,0)</f>
        <v>#N/A</v>
      </c>
      <c r="AS48"/>
      <c r="AT48"/>
    </row>
    <row r="49" spans="1:46" s="157" customFormat="1" ht="14.85" hidden="1" customHeight="1">
      <c r="A49" s="140"/>
      <c r="B49" s="157" t="str">
        <v>BRW gold - maximum profile length 2500 mm</v>
      </c>
      <c r="AS49"/>
      <c r="AT49"/>
    </row>
    <row r="50" spans="1:46" s="157" customFormat="1" ht="14.85" hidden="1" customHeight="1">
      <c r="A50" s="140"/>
      <c r="B50" s="157" t="str">
        <v>BRW arany csiszolt - maximum profile length 2500 mm</v>
      </c>
      <c r="AS50"/>
      <c r="AT50"/>
    </row>
    <row r="51" spans="1:46" s="157" customFormat="1" ht="14.85" hidden="1" customHeight="1">
      <c r="A51" s="140"/>
      <c r="B51" s="157" t="str">
        <v>Corleone (elox.) - maximum profile length 1500 mm</v>
      </c>
      <c r="AS51"/>
      <c r="AT51"/>
    </row>
    <row r="52" spans="1:46" s="157" customFormat="1" ht="14.85" hidden="1" customHeight="1">
      <c r="A52" s="140"/>
      <c r="B52" s="157" t="str">
        <v>Corleone black matt - maximum profile length 1500 mm</v>
      </c>
      <c r="AS52"/>
      <c r="AT52"/>
    </row>
    <row r="53" spans="1:46" s="157" customFormat="1" ht="14.85" hidden="1" customHeight="1">
      <c r="A53" s="140"/>
      <c r="B53" s="157" t="str">
        <v>ASTI black matt - maximum profile length 2150 mm</v>
      </c>
      <c r="AS53"/>
      <c r="AT53"/>
    </row>
    <row r="54" spans="1:46" s="157" customFormat="1" ht="14.85" hidden="1" customHeight="1">
      <c r="A54" s="140"/>
      <c r="B54" s="157" t="str">
        <v>ASTI anthracite RAL 7021 matt - maximum profile length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Narrow ALU Frame</v>
      </c>
      <c r="T54" s="157" t="str">
        <f t="array" ref="T54:T56">kombinace_1!$EN$3:$EN$5</f>
        <v>Not treated</v>
      </c>
      <c r="U54" s="157">
        <v>1</v>
      </c>
      <c r="X54" s="157" t="str">
        <f t="array" ref="X54:X56">kombinace_1!$X$3:$X$5</f>
        <v>Transparent</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maximum profile length 2500 mm</v>
      </c>
      <c r="K55" s="157" t="str">
        <v>Wide ALU Frame</v>
      </c>
      <c r="T55" s="157" t="str">
        <v>Harded (delivery is 4 weeks)</v>
      </c>
      <c r="U55" s="157">
        <v>2</v>
      </c>
      <c r="X55" s="157" t="str">
        <v>White</v>
      </c>
      <c r="AD55" s="157" t="e">
        <f ca="1"/>
        <v>#N/A</v>
      </c>
      <c r="AS55"/>
      <c r="AT55"/>
    </row>
    <row r="56" spans="1:46" s="157" customFormat="1" ht="14.85" hidden="1" customHeight="1">
      <c r="A56" s="140"/>
      <c r="B56" s="157" t="str">
        <v>Imola black matt - maximum profile length 2500 mm</v>
      </c>
      <c r="K56" s="157" t="str">
        <v xml:space="preserve">MDF 16 mm </v>
      </c>
      <c r="T56" s="157" t="str">
        <v>Foil</v>
      </c>
      <c r="U56" s="157">
        <v>3</v>
      </c>
      <c r="X56" s="157" t="str">
        <v>Black</v>
      </c>
      <c r="AD56" s="157" t="e">
        <f ca="1"/>
        <v>#N/A</v>
      </c>
    </row>
    <row r="57" spans="1:46" s="157" customFormat="1" ht="14.85" hidden="1" customHeight="1">
      <c r="A57" s="140"/>
      <c r="B57" s="157" t="str">
        <v>Imola white matt RAL 9003 - maximum profile length 2500 mm</v>
      </c>
      <c r="K57" s="157" t="str">
        <v xml:space="preserve">MDF 18 mm </v>
      </c>
      <c r="AD57" s="157" t="e">
        <f ca="1"/>
        <v>#N/A</v>
      </c>
    </row>
    <row r="58" spans="1:46" s="157" customFormat="1" ht="14.85" hidden="1" customHeight="1">
      <c r="A58" s="140"/>
      <c r="B58" s="157" t="str">
        <v>Imola gold - maximum profile length 2150 mm</v>
      </c>
      <c r="K58" s="157" t="str">
        <v>DTDL 18 mm</v>
      </c>
      <c r="AD58" s="157" t="e">
        <f ca="1"/>
        <v>#N/A</v>
      </c>
    </row>
    <row r="59" spans="1:46" s="157" customFormat="1" ht="14.85" hidden="1" customHeight="1">
      <c r="A59" s="140"/>
      <c r="B59" s="157" t="str">
        <v>Modena (elox.) - maximum profile length 2500 mm</v>
      </c>
      <c r="T59" s="157">
        <f>IFERROR(VLOOKUP($H$21,$T$54:$U$56,2,0),0)</f>
        <v>0</v>
      </c>
      <c r="AD59" s="157" t="e">
        <f ca="1"/>
        <v>#N/A</v>
      </c>
    </row>
    <row r="60" spans="1:46" s="157" customFormat="1" ht="14.85" hidden="1" customHeight="1">
      <c r="A60" s="140"/>
      <c r="B60" s="157" t="str">
        <v>Modena black matt - maximum profile length 2500 mm</v>
      </c>
      <c r="K60" s="157" t="b">
        <f>K56=K61</f>
        <v>0</v>
      </c>
      <c r="AD60" s="157" t="e">
        <f ca="1"/>
        <v>#N/A</v>
      </c>
    </row>
    <row r="61" spans="1:46" s="157" customFormat="1" ht="14.85" hidden="1" customHeight="1">
      <c r="A61" s="140"/>
      <c r="B61" s="157" t="str">
        <v>black black brushed - maximum profile length 2500 mm</v>
      </c>
      <c r="H61" s="157" t="str">
        <f>'Translate&amp;Prices&amp;Logo'!$B$186</f>
        <v>Bottom door</v>
      </c>
      <c r="K61" s="157" t="str">
        <f>'Translate&amp;Prices&amp;Logo'!$B$231</f>
        <v>2 Pieces (both sides)</v>
      </c>
      <c r="AD61" s="157" t="e">
        <f ca="1"/>
        <v>#N/A</v>
      </c>
    </row>
    <row r="62" spans="1:46" s="157" customFormat="1" ht="14.85" hidden="1" customHeight="1">
      <c r="A62" s="140"/>
      <c r="B62" s="157" t="str">
        <v>Modena dark stainless steel brushed - maximum profile length 2500 mm</v>
      </c>
      <c r="AD62" s="157" t="e">
        <f ca="1"/>
        <v>#N/A</v>
      </c>
    </row>
    <row r="63" spans="1:46" s="157" customFormat="1" ht="14.85" hidden="1" customHeight="1">
      <c r="A63" s="140"/>
      <c r="B63" s="157" t="str">
        <v>Modena brown - maximum profile length 2500 mm</v>
      </c>
      <c r="AD63" s="157" t="e">
        <f ca="1"/>
        <v>#N/A</v>
      </c>
    </row>
    <row r="64" spans="1:46" s="157" customFormat="1" ht="14.85" hidden="1" customHeight="1">
      <c r="A64" s="140"/>
      <c r="B64" s="157" t="str">
        <v>Pisa (elox.) - maximum profile length 2500 mm</v>
      </c>
      <c r="AD64" s="157" t="e">
        <f ca="1"/>
        <v>#N/A</v>
      </c>
    </row>
    <row r="65" spans="1:30" s="157" customFormat="1" ht="14.85" hidden="1" customHeight="1">
      <c r="A65" s="140"/>
      <c r="B65" s="157" t="str">
        <v>Pisa white matt RAL 9003 - maximum profile length 2500 mm</v>
      </c>
      <c r="H65" s="33" t="str">
        <f>'rozpad závěsů bez prázdn. řádků'!$K$1</f>
        <v>cross screw</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Top door</v>
      </c>
      <c r="AD65" s="157" t="e">
        <f ca="1"/>
        <v>#N/A</v>
      </c>
    </row>
    <row r="66" spans="1:30" s="157" customFormat="1" ht="14.85" hidden="1" customHeight="1">
      <c r="A66" s="140"/>
      <c r="B66" s="157" t="str">
        <v>Pisa white gloss RAL 9003 - maximum profile length 2500 mm</v>
      </c>
      <c r="H66" s="33" t="str">
        <f>'rozpad závěsů bez prázdn. řádků'!$M$1</f>
        <v>on screw (w/ cam adjust)</v>
      </c>
      <c r="I66" s="159">
        <v>8</v>
      </c>
      <c r="J66" s="32" t="e">
        <f>VLOOKUP($H$15,'rozpad závěsů bez prázdn. řádků'!$G$2:$X$66,I66,0)</f>
        <v>#N/A</v>
      </c>
      <c r="O66" s="157" t="str">
        <v>Bottom door</v>
      </c>
      <c r="AD66" s="157" t="e">
        <f ca="1"/>
        <v>#N/A</v>
      </c>
    </row>
    <row r="67" spans="1:30" s="157" customFormat="1" ht="14.85" hidden="1" customHeight="1">
      <c r="A67" s="140"/>
      <c r="B67" s="157" t="str">
        <v>Pisa black matt - maximum profile length 2500 mm</v>
      </c>
      <c r="H67" s="33" t="str">
        <f>'rozpad závěsů bez prázdn. řádků'!$O$1</f>
        <v>euroscrew</v>
      </c>
      <c r="I67" s="159">
        <v>10</v>
      </c>
      <c r="J67" s="32" t="e">
        <f>VLOOKUP($H$15,'rozpad závěsů bez prázdn. řádků'!$G$2:$X$66,I67,0)</f>
        <v>#N/A</v>
      </c>
      <c r="AD67" s="157" t="e">
        <f ca="1"/>
        <v>#N/A</v>
      </c>
    </row>
    <row r="68" spans="1:30" s="157" customFormat="1" ht="14.85" hidden="1" customHeight="1">
      <c r="A68" s="140"/>
      <c r="B68" s="157" t="str">
        <v>Pisa gold - maximum profile length 2150 mm</v>
      </c>
      <c r="H68" s="33" t="str">
        <f>'rozpad závěsů bez prázdn. řádků'!$Q$1</f>
        <v>expando</v>
      </c>
      <c r="I68" s="159">
        <v>12</v>
      </c>
      <c r="J68" s="32" t="e">
        <f>VLOOKUP($H$15,'rozpad závěsů bez prázdn. řádků'!$G$2:$X$66,I68,0)</f>
        <v>#N/A</v>
      </c>
      <c r="AD68" s="157" t="e">
        <f ca="1"/>
        <v>#N/A</v>
      </c>
    </row>
    <row r="69" spans="1:30" s="157" customFormat="1" ht="14.85" hidden="1" customHeight="1">
      <c r="A69" s="140"/>
      <c r="B69" s="157" t="str">
        <v>Rocca (elox.) - maximum profile length 2150 mm</v>
      </c>
      <c r="H69" s="33" t="str">
        <f>'rozpad závěsů bez prázdn. řádků'!$S$1</f>
        <v>direct screw</v>
      </c>
      <c r="I69" s="159">
        <v>14</v>
      </c>
      <c r="J69" s="32" t="e">
        <f>VLOOKUP($H$15,'rozpad závěsů bez prázdn. řádků'!$G$2:$X$66,I69,0)</f>
        <v>#N/A</v>
      </c>
      <c r="AD69" s="157" t="e">
        <f ca="1"/>
        <v>#N/A</v>
      </c>
    </row>
    <row r="70" spans="1:30" s="157" customFormat="1" ht="14.85" hidden="1" customHeight="1">
      <c r="A70" s="140"/>
      <c r="B70" s="157" t="str">
        <v>Rocca black matt - maximum profile length 2150 mm</v>
      </c>
      <c r="H70" s="33" t="str">
        <f>'rozpad závěsů bez prázdn. řádků'!$U$1</f>
        <v>direct euroscrew</v>
      </c>
      <c r="I70" s="159">
        <v>16</v>
      </c>
      <c r="J70" s="32" t="e">
        <f>VLOOKUP($H$15,'rozpad závěsů bez prázdn. řádků'!$G$2:$X$66,I70,0)</f>
        <v>#N/A</v>
      </c>
      <c r="AD70" s="157" t="e">
        <f ca="1"/>
        <v>#N/A</v>
      </c>
    </row>
    <row r="71" spans="1:30" s="157" customFormat="1" ht="14.85" hidden="1" customHeight="1">
      <c r="A71" s="140"/>
      <c r="B71" s="157" t="str">
        <v>Treviso black matt - maximum profile length 2750 mm</v>
      </c>
      <c r="H71" s="33" t="str">
        <f>'rozpad závěsů bez prázdn. řádků'!$W$1</f>
        <v>direct expando</v>
      </c>
      <c r="I71" s="159">
        <v>18</v>
      </c>
      <c r="J71" s="32" t="e">
        <f>VLOOKUP($H$15,'rozpad závěsů bez prázdn. řádků'!$G$2:$X$66,I71,0)</f>
        <v>#N/A</v>
      </c>
      <c r="AD71" s="157" t="e">
        <f ca="1"/>
        <v>#N/A</v>
      </c>
    </row>
    <row r="72" spans="1:30" s="157" customFormat="1" ht="14.85" hidden="1" customHeight="1">
      <c r="A72" s="140"/>
      <c r="B72" s="157" t="str">
        <v>Verona (elox.) - maximum profile length 2500 mm</v>
      </c>
      <c r="AD72" s="157" t="e">
        <f ca="1"/>
        <v>#N/A</v>
      </c>
    </row>
    <row r="73" spans="1:30" s="157" customFormat="1" ht="14.85" hidden="1" customHeight="1">
      <c r="A73" s="140"/>
      <c r="B73" s="157" t="str">
        <v>Verona brushed aluminium - maximum profile length 2500 mm</v>
      </c>
      <c r="AD73" s="157" t="e">
        <f ca="1"/>
        <v>#N/A</v>
      </c>
    </row>
    <row r="74" spans="1:30" s="157" customFormat="1" ht="14.85" hidden="1" customHeight="1">
      <c r="A74" s="140"/>
      <c r="B74" s="157" t="str">
        <v>Verona black matt - maximum profile length 2500 mm</v>
      </c>
      <c r="AD74" s="157" t="e">
        <f ca="1"/>
        <v>#N/A</v>
      </c>
    </row>
    <row r="75" spans="1:30" s="157" customFormat="1" ht="14.85" hidden="1" customHeight="1">
      <c r="A75" s="140"/>
      <c r="B75" s="157" t="str">
        <v>Verona black gloss - maximum profile length 2500 mm</v>
      </c>
      <c r="AD75" s="157" t="e">
        <f ca="1"/>
        <v>#N/A</v>
      </c>
    </row>
    <row r="76" spans="1:30" s="157" customFormat="1" ht="14.85" hidden="1" customHeight="1">
      <c r="A76" s="140"/>
      <c r="B76" s="157" t="str">
        <v>Verona brown - maximum profile length 2500 mm</v>
      </c>
      <c r="AD76" s="157" t="e">
        <f ca="1"/>
        <v>#N/A</v>
      </c>
    </row>
    <row r="77" spans="1:30" s="157" customFormat="1" ht="14.85" hidden="1" customHeight="1">
      <c r="A77" s="140"/>
      <c r="B77" s="157" t="str">
        <v>Verona champagne - maximum profile length 2500 mm</v>
      </c>
      <c r="AD77" s="157" t="e">
        <f ca="1"/>
        <v>#N/A</v>
      </c>
    </row>
    <row r="78" spans="1:30" s="157" customFormat="1" ht="14.85" hidden="1" customHeight="1">
      <c r="A78" s="140"/>
      <c r="B78" s="157" t="str">
        <v>Verona dark stainless steel brushed - maximum profile length 2500 mm</v>
      </c>
      <c r="AD78" s="157" t="e">
        <f ca="1"/>
        <v>#N/A</v>
      </c>
    </row>
    <row r="79" spans="1:30" s="157" customFormat="1" ht="14.85" hidden="1" customHeight="1">
      <c r="A79" s="140"/>
      <c r="B79" s="157" t="str">
        <v>Verona light stainless steel (Acier gratta) - maximum profile length 2500 mm</v>
      </c>
      <c r="AD79" s="157" t="e">
        <f ca="1"/>
        <v>#N/A</v>
      </c>
    </row>
    <row r="80" spans="1:30" s="157" customFormat="1" ht="14.85" hidden="1" customHeight="1">
      <c r="A80" s="140"/>
      <c r="B80" s="157" t="str">
        <v>Verona Ivory mat - maximum profile length 2150 mm</v>
      </c>
      <c r="AD80" s="157" t="e">
        <f ca="1"/>
        <v>#N/A</v>
      </c>
    </row>
    <row r="81" spans="1:38" s="157" customFormat="1" ht="14.85" hidden="1" customHeight="1">
      <c r="A81" s="140"/>
      <c r="B81" s="157" t="str">
        <v>Verona cashmere - maximum profile length 2150 mm</v>
      </c>
      <c r="AD81" s="157" t="e">
        <f ca="1"/>
        <v>#N/A</v>
      </c>
    </row>
    <row r="82" spans="1:38" s="157" customFormat="1" ht="14.85" hidden="1" customHeight="1">
      <c r="A82" s="140"/>
      <c r="B82" s="157" t="str">
        <v>Verona gold - maximum profile length 2150 mm</v>
      </c>
      <c r="P82" s="157" t="str" cm="1">
        <f t="array" ref="P82:P85">IF(OR(H8=kombinace_1!F18,H8=kombinace_1!F19,H8=kombinace_1!A60,H8=kombinace_1!A61,H8=kombinace_1!A62,H8=kombinace_1!A63),_2_strany,IF(H15=kombinace_1!AB8,_ramena_HL,_4_strany))</f>
        <v>Top</v>
      </c>
      <c r="AD82" s="157" t="e">
        <f ca="1"/>
        <v>#N/A</v>
      </c>
    </row>
    <row r="83" spans="1:38" ht="14.85" hidden="1" customHeight="1">
      <c r="B83" s="138" t="str">
        <v>Verona gold brushed - maximum profile length 2150 mm</v>
      </c>
      <c r="C83" s="140"/>
      <c r="D83" s="140"/>
      <c r="E83" s="140"/>
      <c r="F83" s="140"/>
      <c r="G83" s="140"/>
      <c r="H83" s="140"/>
      <c r="I83" s="140"/>
      <c r="J83" s="140"/>
      <c r="K83" s="140"/>
      <c r="L83" s="140"/>
      <c r="M83" s="140"/>
      <c r="N83" s="140"/>
      <c r="O83" s="138"/>
      <c r="P83" s="140" t="str">
        <v>Bottom</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maximum profile length 2500 mm</v>
      </c>
      <c r="C84" s="140"/>
      <c r="D84" s="140"/>
      <c r="E84" s="140"/>
      <c r="F84" s="140"/>
      <c r="G84" s="140"/>
      <c r="H84" s="140"/>
      <c r="I84" s="140"/>
      <c r="J84" s="140"/>
      <c r="K84" s="140"/>
      <c r="L84" s="140"/>
      <c r="M84" s="140"/>
      <c r="N84" s="140"/>
      <c r="O84" s="138"/>
      <c r="P84" s="140" t="str">
        <v>Right</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black matt - maximum profile length 2500 mm</v>
      </c>
      <c r="C85" s="140"/>
      <c r="D85" s="140"/>
      <c r="E85" s="140"/>
      <c r="F85" s="140"/>
      <c r="G85" s="140"/>
      <c r="H85" s="140"/>
      <c r="I85" s="140"/>
      <c r="J85" s="140"/>
      <c r="K85" s="140"/>
      <c r="L85" s="140"/>
      <c r="M85" s="140"/>
      <c r="N85" s="140"/>
      <c r="O85" s="140"/>
      <c r="P85" s="140" t="str">
        <v>Left</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dark stainless steel - maximum profile length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white matt RAL 9003 - maximum profile length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white gloss RAL 9003 - maximum profile length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gold - maximum profile length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gold brushed - maximum profile length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(Left and Right) + Varna elox (Top and Bottom)</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black (Left and right) + Varna black (Top and bottom)</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black matt  - maximum profile length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matt  - maximum profile length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black matt  - maximum profile length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matt  - maximum profile length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