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202300"/>
  <mc:AlternateContent xmlns:mc="http://schemas.openxmlformats.org/markup-compatibility/2006">
    <mc:Choice Requires="x15">
      <x15ac:absPath xmlns:x15ac="http://schemas.microsoft.com/office/spreadsheetml/2010/11/ac" url="https://demostrade-my.sharepoint.com/personal/11507_demos-trade_com/Documents/Záloha/StrongMax Planner/Nahrané verze/"/>
    </mc:Choice>
  </mc:AlternateContent>
  <xr:revisionPtr revIDLastSave="217" documentId="8_{7B076A17-8206-40C9-ABD6-3A4BA2479BD1}" xr6:coauthVersionLast="47" xr6:coauthVersionMax="47" xr10:uidLastSave="{0AFA544B-C7F8-4C38-B051-AEC27963BCC5}"/>
  <workbookProtection workbookAlgorithmName="SHA-512" workbookHashValue="blqKNSlNmUopN0kWJchs+eHhMSYSn0iuDyXVIzHuamH/NsvhqpdI7iXYSau5p8preOvFHHJc5xZsq7V5Bz9LvQ==" workbookSaltValue="bmjEDf6g4zaUe/X9wNOUKA==" workbookSpinCount="100000" lockStructure="1"/>
  <bookViews>
    <workbookView showSheetTabs="0" xWindow="-108" yWindow="-108" windowWidth="23256" windowHeight="12456" xr2:uid="{A72B8394-9CD0-4441-990A-B5868872BD14}"/>
  </bookViews>
  <sheets>
    <sheet name="Úvod" sheetId="1" r:id="rId1"/>
    <sheet name="vlajky" sheetId="13" state="hidden" r:id="rId2"/>
    <sheet name="Zakaznik" sheetId="10" r:id="rId3"/>
    <sheet name="Menu" sheetId="11" r:id="rId4"/>
    <sheet name="Překlady" sheetId="2" state="hidden" r:id="rId5"/>
    <sheet name="čelo" sheetId="5" r:id="rId6"/>
    <sheet name="nákresy" sheetId="12" state="hidden" r:id="rId7"/>
    <sheet name="Karty" sheetId="7" state="hidden" r:id="rId8"/>
    <sheet name="vnitřní" sheetId="6" state="hidden" r:id="rId9"/>
    <sheet name="výška bočnic" sheetId="8" state="hidden" r:id="rId10"/>
  </sheets>
  <definedNames>
    <definedName name="_A1">#REF!</definedName>
    <definedName name="_A2">#REF!</definedName>
    <definedName name="_A3">#REF!</definedName>
    <definedName name="_xlnm._FilterDatabase" localSheetId="7" hidden="1">Karty!$K$2:$Q$98</definedName>
    <definedName name="_kombinovane_profily">#REF!</definedName>
    <definedName name="_N1">#REF!</definedName>
    <definedName name="_N2">#REF!</definedName>
    <definedName name="_N3">#REF!</definedName>
    <definedName name="_obrazek">IF(#REF!="PRAVDA",#REF!,IF(#REF!="NEPRAVDA",#REF!,0))</definedName>
    <definedName name="_pocet_sprzosy">#REF!</definedName>
    <definedName name="_široký_Automatická_vzpěra">#REF!</definedName>
    <definedName name="_široký_Aventos_HF">#REF!</definedName>
    <definedName name="_široký_Aventos_HK_XS">#REF!</definedName>
    <definedName name="_široký_BLUM_naložený">#REF!</definedName>
    <definedName name="_široký_BLUM_polonaložený">#REF!</definedName>
    <definedName name="_široký_BLUM_vložený">#REF!</definedName>
    <definedName name="_široký_Duo">#REF!</definedName>
    <definedName name="_široký_Duo_Forte">#REF!</definedName>
    <definedName name="_široký_FREEfold">#REF!</definedName>
    <definedName name="_široký_FREElight">#REF!</definedName>
    <definedName name="_široký_HETTICH_naložený">#REF!</definedName>
    <definedName name="_široký_HETTICH_polonaložený">#REF!</definedName>
    <definedName name="_široký_HETTICH_vložený">#REF!</definedName>
    <definedName name="_široký_K12">#REF!</definedName>
    <definedName name="_široký_Kiaro">#REF!</definedName>
    <definedName name="_široký_Kraby">#REF!</definedName>
    <definedName name="_široký_LiftMini">#REF!</definedName>
    <definedName name="_široký_Link">#REF!</definedName>
    <definedName name="_široký_Maxi">#REF!</definedName>
    <definedName name="_široký_Polohovací_vzpěra">#REF!</definedName>
    <definedName name="_široký_Spodní_K12">#REF!</definedName>
    <definedName name="_široký_Spodní_Kraby">#REF!</definedName>
    <definedName name="_široký_STRONG_naložený">#REF!</definedName>
    <definedName name="_široký_STRONG_PLUS_naložený">#REF!</definedName>
    <definedName name="_široký_STRONG_PLUS_polonaložený">#REF!</definedName>
    <definedName name="_široký_STRONG_PLUS_vložený">#REF!</definedName>
    <definedName name="_široký_STRONG_polonaložený">#REF!</definedName>
    <definedName name="_široký_STRONG_vložený">#REF!</definedName>
    <definedName name="_umisteni_zavesu">#REF!</definedName>
    <definedName name="_umisteni_zavesu_vyklop">#REF!</definedName>
    <definedName name="_Úzký_Automatická_vzpěra">#REF!</definedName>
    <definedName name="_Úzký_Aventos_HF">#REF!</definedName>
    <definedName name="_Úzký_Aventos_HK_XS">#REF!</definedName>
    <definedName name="_úzký_BLUM_naložený">#REF!</definedName>
    <definedName name="_úzký_BLUM_polonaložený">#REF!</definedName>
    <definedName name="_úzký_BLUM_vložený">#REF!</definedName>
    <definedName name="_Úzký_Duo">#REF!</definedName>
    <definedName name="_Úzký_Duo_Forte">#REF!</definedName>
    <definedName name="_Úzký_FREEfold">#REF!</definedName>
    <definedName name="_Úzký_FREElight">#REF!</definedName>
    <definedName name="_úzký_HETTICH_naložený">#REF!</definedName>
    <definedName name="_úzký_HETTICH_polonaložený">#REF!</definedName>
    <definedName name="_úzký_HETTICH_vložený">#REF!</definedName>
    <definedName name="_Úzký_K12">#REF!</definedName>
    <definedName name="_Úzký_Kiaro">#REF!</definedName>
    <definedName name="_Úzký_Kraby">#REF!</definedName>
    <definedName name="_Úzký_Maxi">#REF!</definedName>
    <definedName name="_Úzký_Polohovací_vzpěra">#REF!</definedName>
    <definedName name="_Úzký_Spodní_K12">#REF!</definedName>
    <definedName name="_Úzký_Spodní_Kraby">#REF!</definedName>
    <definedName name="_úzký_STRONG_naložený">#REF!</definedName>
    <definedName name="_úzký_STRONG_PLUS_naložený">#REF!</definedName>
    <definedName name="_varna_panty_svisle">#REF!</definedName>
    <definedName name="_vše_profily">#REF!</definedName>
    <definedName name="_vyklopy_blum">#REF!</definedName>
    <definedName name="_vyklopy_hettich">#REF!</definedName>
    <definedName name="_vyklopy_italiana">#REF!</definedName>
    <definedName name="_vyklopy_kesse">#REF!</definedName>
    <definedName name="_vyklopy_strong">#REF!</definedName>
    <definedName name="_zavesy_blum">#REF!</definedName>
    <definedName name="_zavesy_hettich">#REF!</definedName>
    <definedName name="_zavesy_strong">#REF!</definedName>
    <definedName name="_znacka_vyklopy">#REF!</definedName>
    <definedName name="_znacka_zavesy">#REF!</definedName>
    <definedName name="AV_HF">#REF!</definedName>
    <definedName name="AV_HF_SD">#REF!</definedName>
    <definedName name="AV_HK">#REF!</definedName>
    <definedName name="AV_HK_SD">#REF!</definedName>
    <definedName name="AV_HK_TIP">#REF!</definedName>
    <definedName name="AV_HKS">#REF!</definedName>
    <definedName name="AV_HKS_TIP">#REF!</definedName>
    <definedName name="AV_HKXS">#REF!</definedName>
    <definedName name="AV_HKXS_TIP">#REF!</definedName>
    <definedName name="AV_HL">#REF!</definedName>
    <definedName name="AV_HL_SD">#REF!</definedName>
    <definedName name="AV_HS">#REF!</definedName>
    <definedName name="AV_HS_SD">#REF!</definedName>
    <definedName name="AV_OST">#REF!</definedName>
    <definedName name="BLUM">#REF!</definedName>
    <definedName name="BLUM_WIDE">#REF!</definedName>
    <definedName name="ČTYŘI_VÝŠKY">čelo!$Y$6:$Y$9</definedName>
    <definedName name="DOL_DV">#REF!</definedName>
    <definedName name="DOLE">#REF!</definedName>
    <definedName name="DTDL_18">#REF!</definedName>
    <definedName name="DVĚ_VÝŠKY">čelo!$W$6:$W$7</definedName>
    <definedName name="HETTICH">#REF!</definedName>
    <definedName name="HF_POZICE_2_DVIRKA">#REF!</definedName>
    <definedName name="HF_TYP_2_CILKA">#REF!</definedName>
    <definedName name="HM_UCH">#REF!</definedName>
    <definedName name="HOR_DV">#REF!</definedName>
    <definedName name="JEDNA_VÝŠKA">čelo!$V$6</definedName>
    <definedName name="MAX_ROZ_RAM">#REF!</definedName>
    <definedName name="MDF_16">#REF!</definedName>
    <definedName name="MDF_18">#REF!</definedName>
    <definedName name="MIN_POZ_ZAVES">#REF!</definedName>
    <definedName name="MIN_POZ_ZAVES_80">#REF!</definedName>
    <definedName name="MIN_ROZ_RAM">#REF!</definedName>
    <definedName name="NAHORE">#REF!</definedName>
    <definedName name="OBE_STRANY">#REF!</definedName>
    <definedName name="_xlnm.Print_Area" localSheetId="5">čelo!$A$186:$H$302</definedName>
    <definedName name="PANT_BLUM_SLIM">#REF!</definedName>
    <definedName name="PANT_BLUM_WIDE">#REF!</definedName>
    <definedName name="PANT_HETTICH_SLIM">#REF!</definedName>
    <definedName name="PANT_HETTICH_WIDE">#REF!</definedName>
    <definedName name="PANT_STRONG_SLIM_BTL">#REF!</definedName>
    <definedName name="PANT_STRONG_SLIM_STL">#REF!</definedName>
    <definedName name="PANT_STRONG_WIDE_BTL">#REF!</definedName>
    <definedName name="PANT_STRONG_WIDE_STL">#REF!</definedName>
    <definedName name="PANTY_TAB1">#REF!</definedName>
    <definedName name="POC_ZAVES">#REF!</definedName>
    <definedName name="POZ_RAM">#REF!</definedName>
    <definedName name="POZICE_RAMENE">#REF!</definedName>
    <definedName name="PRAZDNE_1">#REF!</definedName>
    <definedName name="PROFILY_ALL">#REF!</definedName>
    <definedName name="PROV_2_CILKA">#REF!</definedName>
    <definedName name="RADEK_1_5">OFFSET(#REF!,0,0,COUNT(#REF!:#REF!),1)</definedName>
    <definedName name="RADEK_1_6">OFFSET(#REF!,0,0,COUNT(#REF!:#REF!),1)</definedName>
    <definedName name="RADEK_2_5">OFFSET(#REF!,0,0,COUNT(#REF!:#REF!),1)</definedName>
    <definedName name="RADEK_2_6">OFFSET(#REF!,0,0,COUNT(#REF!:#REF!),1)</definedName>
    <definedName name="RADEK_3_5">OFFSET(#REF!,0,0,COUNT(#REF!:#REF!),1)</definedName>
    <definedName name="RADEK_3_6">OFFSET(#REF!,0,0,COUNT(#REF!:#REF!),1)</definedName>
    <definedName name="RADEK_4_5">OFFSET(#REF!,0,0,COUNT(#REF!:#REF!),1)</definedName>
    <definedName name="RADEK_4_6">OFFSET(#REF!,0,0,COUNT(#REF!:#REF!),1)</definedName>
    <definedName name="RADEK_5_5">OFFSET(#REF!,0,0,COUNT(#REF!:#REF!),1)</definedName>
    <definedName name="RADEK_5_6">OFFSET(#REF!,0,0,COUNT(#REF!:#REF!),1)</definedName>
    <definedName name="RADEK_6_5">OFFSET(#REF!,0,0,COUNT(#REF!:#REF!),1)</definedName>
    <definedName name="RADEK_6_6">OFFSET(#REF!,0,0,COUNT(#REF!:#REF!),1)</definedName>
    <definedName name="SIR_RAM">#REF!</definedName>
    <definedName name="SKLO_ALL">#REF!</definedName>
    <definedName name="SKLO_FOR_STICK">#REF!</definedName>
    <definedName name="SKLO_VYBER_T1">OFFSET(#REF!,0,0,COUNT(#REF!),1)</definedName>
    <definedName name="SKLO_VYBER_T2">OFFSET(#REF!,0,0,COUNT(#REF!),1)</definedName>
    <definedName name="SKLO_VYBER_T3">OFFSET(#REF!,0,0,COUNT(#REF!),1)</definedName>
    <definedName name="SKLO_VYBER_T4">OFFSET(#REF!,0,0,COUNT(#REF!),1)</definedName>
    <definedName name="SKLO_VYBER_T5">OFFSET(#REF!,0,0,COUNT(#REF!),1)</definedName>
    <definedName name="SKLO_VYBER_T6">OFFSET(#REF!,0,0,COUNT(#REF!),1)</definedName>
    <definedName name="STRONG_BINT_TL">#REF!</definedName>
    <definedName name="STRONG_INT_TL">#REF!</definedName>
    <definedName name="STRONG_Plus">#REF!</definedName>
    <definedName name="T1_PANT_BLUM">#REF!</definedName>
    <definedName name="T1_PANT_HETTICH">#REF!</definedName>
    <definedName name="T1_PANT_STRONG_BTL">#REF!</definedName>
    <definedName name="T1_PANT_STRONG_PLUS">#REF!</definedName>
    <definedName name="T1_PANT_STRONG_STL">#REF!</definedName>
    <definedName name="T1_PODLOZKA_TYPY">OFFSET(#REF!,0,0,COUNT(#REF!),1)</definedName>
    <definedName name="T1_VYKLOPY">OFFSET(#REF!,0,0,COUNT(#REF!),1)</definedName>
    <definedName name="T2_PANT_BLUM">#REF!</definedName>
    <definedName name="T2_PANT_HETTICH">#REF!</definedName>
    <definedName name="T2_PANT_STRONG_BTL">#REF!</definedName>
    <definedName name="T2_PANT_STRONG_STL">#REF!</definedName>
    <definedName name="T2_PODLOZKA_TYPY">OFFSET(#REF!,0,0,COUNT(#REF!),1)</definedName>
    <definedName name="T2_VYKLOPY">OFFSET(#REF!,0,0,COUNT(#REF!),1)</definedName>
    <definedName name="T3_PANT_BLUM">#REF!</definedName>
    <definedName name="T3_PANT_HETTICH">#REF!</definedName>
    <definedName name="T3_PANT_STRONG_BTL">#REF!</definedName>
    <definedName name="T3_PANT_STRONG_STL">#REF!</definedName>
    <definedName name="T3_PODLOZKA_TYPY">OFFSET(#REF!,0,0,COUNT(#REF!),1)</definedName>
    <definedName name="T3_VYKLOPY">OFFSET(#REF!,0,0,COUNT(#REF!),1)</definedName>
    <definedName name="T4_PANT_BLUM">#REF!</definedName>
    <definedName name="T4_PANT_HETTICH">#REF!</definedName>
    <definedName name="T4_PANT_STRONG_BTL">#REF!</definedName>
    <definedName name="T4_PANT_STRONG_STL">#REF!</definedName>
    <definedName name="T4_PODLOZKA_TYPY">OFFSET(#REF!,0,0,COUNT(#REF!),1)</definedName>
    <definedName name="T4_VYKLOPY">OFFSET(#REF!,0,0,COUNT(#REF!),1)</definedName>
    <definedName name="T5_PANT_BLUM">#REF!</definedName>
    <definedName name="T5_PANT_HETTICH">#REF!</definedName>
    <definedName name="T5_PANT_STRONG_BTL">#REF!</definedName>
    <definedName name="T5_PANT_STRONG_STL">#REF!</definedName>
    <definedName name="T5_PODLOZKA_TYPY">OFFSET(#REF!,0,0,COUNT(#REF!),1)</definedName>
    <definedName name="T5_VYKLOPY">OFFSET(#REF!,0,0,COUNT(#REF!),1)</definedName>
    <definedName name="T6_PANT_BLUM">#REF!</definedName>
    <definedName name="T6_PANT_HETTICH">#REF!</definedName>
    <definedName name="T6_PANT_STRONG_BTL">#REF!</definedName>
    <definedName name="T6_PANT_STRONG_STL">#REF!</definedName>
    <definedName name="T6_PODLOZKA_TYPY">OFFSET(#REF!,0,0,COUNT(#REF!),1)</definedName>
    <definedName name="T6_VYKLOPY">OFFSET(#REF!,0,0,COUNT(#REF!),1)</definedName>
    <definedName name="TŘI_VÝŠKY">čelo!$X$6:$X$8</definedName>
    <definedName name="TYP_AV">#REF!</definedName>
    <definedName name="TYP_AV_OST">#REF!</definedName>
    <definedName name="TYP_PODL">#REF!</definedName>
    <definedName name="TYP_RAM">#REF!</definedName>
    <definedName name="TYP_RAM_AV_HL">#REF!</definedName>
    <definedName name="TYP_ZAV">#REF!</definedName>
    <definedName name="UMISTENI_RAM_HKXS">#REF!</definedName>
    <definedName name="UMISTENI_VYKLOP">#REF!</definedName>
    <definedName name="UZKY_RAM">#REF!</definedName>
    <definedName name="VLEVO">#REF!</definedName>
    <definedName name="VPRAVO">#REF!</definedName>
    <definedName name="VYBER_SEZN">#REF!</definedName>
    <definedName name="VYKLOP_DWN_SLIM">#REF!</definedName>
    <definedName name="VYKLOP_DWN_WIDE">#REF!</definedName>
    <definedName name="VYKLOP_UP_SLIM">#REF!</definedName>
    <definedName name="VYKLOP_UP_WIDE">#REF!</definedName>
    <definedName name="VYR_ZAVES">#REF!</definedName>
    <definedName name="VZD_ZAVES">#REF!</definedName>
    <definedName name="ZAVES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E48" i="2"/>
  <c r="K48" i="2"/>
  <c r="J48" i="2"/>
  <c r="I48" i="2"/>
  <c r="H48" i="2"/>
  <c r="C3"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B20" i="1" s="1"/>
  <c r="C58" i="2"/>
  <c r="C59" i="2"/>
  <c r="C60" i="2"/>
  <c r="C61" i="2"/>
  <c r="C62" i="2"/>
  <c r="C63" i="2"/>
  <c r="C64" i="2"/>
  <c r="C65" i="2"/>
  <c r="C66" i="2"/>
  <c r="C67" i="2"/>
  <c r="C68" i="2"/>
  <c r="C69" i="2"/>
  <c r="C70" i="2"/>
  <c r="C71" i="2"/>
  <c r="C72" i="2"/>
  <c r="C73" i="2"/>
  <c r="C74" i="2"/>
  <c r="C75" i="2"/>
  <c r="C76" i="2"/>
  <c r="C5" i="2"/>
  <c r="B63" i="5"/>
  <c r="J110" i="5"/>
  <c r="J113" i="5"/>
  <c r="J115" i="5"/>
  <c r="J116" i="5"/>
  <c r="J118" i="5"/>
  <c r="J117" i="5"/>
  <c r="J122" i="5"/>
  <c r="B59" i="5"/>
  <c r="B56" i="5" s="1"/>
  <c r="I87" i="5"/>
  <c r="C135" i="5" l="1"/>
  <c r="Q86" i="5"/>
  <c r="J120" i="5"/>
  <c r="J112" i="5"/>
  <c r="L131" i="5" l="1"/>
  <c r="L101" i="5"/>
  <c r="I57" i="5"/>
  <c r="I58" i="5"/>
  <c r="I59" i="5"/>
  <c r="I60" i="5"/>
  <c r="I61" i="5"/>
  <c r="H51" i="5"/>
  <c r="I116" i="5" l="1"/>
  <c r="Z40" i="5"/>
  <c r="Z35" i="5"/>
  <c r="K76" i="5"/>
  <c r="B154" i="5"/>
  <c r="B153" i="5"/>
  <c r="B151" i="5"/>
  <c r="B148" i="5"/>
  <c r="B146" i="5"/>
  <c r="B122" i="5"/>
  <c r="B120" i="5"/>
  <c r="Z36" i="5"/>
  <c r="V31" i="5" l="1"/>
  <c r="V30" i="5"/>
  <c r="V29" i="5"/>
  <c r="V28" i="5"/>
  <c r="J125" i="5"/>
  <c r="B125" i="5"/>
  <c r="B147" i="5"/>
  <c r="B140" i="5"/>
  <c r="B149" i="5"/>
  <c r="B143" i="5"/>
  <c r="B156" i="5"/>
  <c r="I147" i="5"/>
  <c r="C137" i="5"/>
  <c r="D162" i="5"/>
  <c r="B110" i="5"/>
  <c r="B112" i="5"/>
  <c r="B113" i="5"/>
  <c r="B115" i="5"/>
  <c r="B116" i="5"/>
  <c r="B117" i="5"/>
  <c r="B118" i="5"/>
  <c r="B11" i="5" l="1"/>
  <c r="D20" i="10"/>
  <c r="C6" i="10"/>
  <c r="Q116" i="5" l="1"/>
  <c r="D131" i="5"/>
  <c r="B80" i="5" l="1"/>
  <c r="B87" i="5"/>
  <c r="B85" i="5"/>
  <c r="B88" i="5"/>
  <c r="B90" i="5"/>
  <c r="B92" i="5"/>
  <c r="B95" i="5"/>
  <c r="B82" i="5"/>
  <c r="K106" i="5"/>
  <c r="C76" i="5"/>
  <c r="C106" i="5"/>
  <c r="B86" i="5" l="1"/>
  <c r="B83" i="5"/>
  <c r="Z34" i="5"/>
  <c r="Z38" i="5"/>
  <c r="Z37" i="5"/>
  <c r="B33" i="5" l="1"/>
  <c r="B34" i="5"/>
  <c r="H25" i="5"/>
  <c r="I25" i="5"/>
  <c r="V27" i="5" l="1"/>
  <c r="AG31" i="5"/>
  <c r="AG30" i="5"/>
  <c r="AG29" i="5"/>
  <c r="AG27" i="5"/>
  <c r="AG28" i="5"/>
  <c r="AG5" i="5"/>
  <c r="AG6" i="5"/>
  <c r="G25" i="5" l="1"/>
  <c r="AG26" i="5"/>
  <c r="G22" i="5" s="1"/>
  <c r="F48" i="2" l="1"/>
  <c r="D48" i="2"/>
  <c r="T89" i="5"/>
  <c r="T90" i="5"/>
  <c r="T91" i="5"/>
  <c r="T92" i="5"/>
  <c r="K104" i="5"/>
  <c r="D101" i="5"/>
  <c r="C104" i="5" l="1"/>
  <c r="K74" i="5"/>
  <c r="J95" i="5"/>
  <c r="J88" i="5"/>
  <c r="J85" i="5"/>
  <c r="J94" i="5"/>
  <c r="J87" i="5"/>
  <c r="J86" i="5"/>
  <c r="J82" i="5"/>
  <c r="J80" i="5"/>
  <c r="J93" i="5"/>
  <c r="J92" i="5"/>
  <c r="J90" i="5"/>
  <c r="C74" i="5"/>
  <c r="H55" i="5"/>
  <c r="H49" i="5"/>
  <c r="H54" i="5"/>
  <c r="W2" i="10" l="1"/>
  <c r="C10" i="10"/>
  <c r="E30" i="10"/>
  <c r="C14" i="10" l="1"/>
  <c r="B30" i="10"/>
  <c r="B37" i="5"/>
  <c r="B30" i="11"/>
  <c r="A28" i="1" l="1"/>
  <c r="C12" i="10" l="1"/>
  <c r="C8" i="10"/>
  <c r="B46" i="5"/>
  <c r="A27" i="5" l="1"/>
  <c r="A49" i="5"/>
  <c r="B53" i="5"/>
  <c r="B50" i="5" s="1"/>
  <c r="Z39" i="5"/>
  <c r="AG7" i="5" l="1"/>
  <c r="AI27" i="5" s="1"/>
  <c r="AJ27" i="5" s="1"/>
  <c r="AI30" i="5"/>
  <c r="AJ30" i="5" s="1"/>
  <c r="AI29" i="5"/>
  <c r="AJ29" i="5" s="1"/>
  <c r="Y27" i="5"/>
  <c r="Z27" i="5" s="1"/>
  <c r="Y28" i="5"/>
  <c r="Z28" i="5" s="1"/>
  <c r="Y29" i="5"/>
  <c r="Z29" i="5" s="1"/>
  <c r="Y30" i="5"/>
  <c r="Z30" i="5" s="1"/>
  <c r="Y31" i="5"/>
  <c r="D1" i="7"/>
  <c r="AG32" i="5"/>
  <c r="H60" i="5"/>
  <c r="H59" i="5"/>
  <c r="H58" i="5"/>
  <c r="H57" i="5"/>
  <c r="AI31" i="5" l="1"/>
  <c r="AJ31" i="5" s="1"/>
  <c r="B4" i="7"/>
  <c r="B16" i="7"/>
  <c r="B28" i="7"/>
  <c r="B40" i="7"/>
  <c r="Q40" i="7" s="1"/>
  <c r="B52" i="7"/>
  <c r="Q52" i="7" s="1"/>
  <c r="B64" i="7"/>
  <c r="Q64" i="7" s="1"/>
  <c r="B76" i="7"/>
  <c r="Q76" i="7" s="1"/>
  <c r="B88" i="7"/>
  <c r="Q88" i="7" s="1"/>
  <c r="B100" i="7"/>
  <c r="M22" i="10" s="1"/>
  <c r="B5" i="7"/>
  <c r="Q5" i="7" s="1"/>
  <c r="B17" i="7"/>
  <c r="Q17" i="7" s="1"/>
  <c r="B29" i="7"/>
  <c r="Q29" i="7" s="1"/>
  <c r="B41" i="7"/>
  <c r="B53" i="7"/>
  <c r="B65" i="7"/>
  <c r="Q65" i="7" s="1"/>
  <c r="B77" i="7"/>
  <c r="Q77" i="7" s="1"/>
  <c r="B89" i="7"/>
  <c r="Q89" i="7" s="1"/>
  <c r="B3" i="7"/>
  <c r="Q3" i="7" s="1"/>
  <c r="B6" i="7"/>
  <c r="Q6" i="7" s="1"/>
  <c r="B18" i="7"/>
  <c r="Q18" i="7" s="1"/>
  <c r="B30" i="7"/>
  <c r="Q30" i="7" s="1"/>
  <c r="B42" i="7"/>
  <c r="Q42" i="7" s="1"/>
  <c r="B54" i="7"/>
  <c r="Q54" i="7" s="1"/>
  <c r="B66" i="7"/>
  <c r="Q66" i="7" s="1"/>
  <c r="B78" i="7"/>
  <c r="B90" i="7"/>
  <c r="B7" i="7"/>
  <c r="Q7" i="7" s="1"/>
  <c r="B19" i="7"/>
  <c r="B31" i="7"/>
  <c r="Q31" i="7" s="1"/>
  <c r="B43" i="7"/>
  <c r="Q43" i="7" s="1"/>
  <c r="B55" i="7"/>
  <c r="Q55" i="7" s="1"/>
  <c r="B67" i="7"/>
  <c r="Q67" i="7" s="1"/>
  <c r="B79" i="7"/>
  <c r="Q79" i="7" s="1"/>
  <c r="B91" i="7"/>
  <c r="Q91" i="7" s="1"/>
  <c r="B8" i="7"/>
  <c r="Q8" i="7" s="1"/>
  <c r="B20" i="7"/>
  <c r="Q20" i="7" s="1"/>
  <c r="B32" i="7"/>
  <c r="B44" i="7"/>
  <c r="B56" i="7"/>
  <c r="Q56" i="7" s="1"/>
  <c r="B68" i="7"/>
  <c r="B80" i="7"/>
  <c r="Q80" i="7" s="1"/>
  <c r="B92" i="7"/>
  <c r="Q92" i="7" s="1"/>
  <c r="B9" i="7"/>
  <c r="Q9" i="7" s="1"/>
  <c r="B21" i="7"/>
  <c r="Q21" i="7" s="1"/>
  <c r="B33" i="7"/>
  <c r="Q33" i="7" s="1"/>
  <c r="B45" i="7"/>
  <c r="Q45" i="7" s="1"/>
  <c r="B57" i="7"/>
  <c r="Q57" i="7" s="1"/>
  <c r="B69" i="7"/>
  <c r="Q69" i="7" s="1"/>
  <c r="B81" i="7"/>
  <c r="B93" i="7"/>
  <c r="B10" i="7"/>
  <c r="B22" i="7"/>
  <c r="B34" i="7"/>
  <c r="Q34" i="7" s="1"/>
  <c r="B46" i="7"/>
  <c r="Q46" i="7" s="1"/>
  <c r="B58" i="7"/>
  <c r="Q58" i="7" s="1"/>
  <c r="B70" i="7"/>
  <c r="Q70" i="7" s="1"/>
  <c r="B82" i="7"/>
  <c r="Q82" i="7" s="1"/>
  <c r="B94" i="7"/>
  <c r="Q94" i="7" s="1"/>
  <c r="B37" i="7"/>
  <c r="Q37" i="7" s="1"/>
  <c r="B97" i="7"/>
  <c r="Q97" i="7" s="1"/>
  <c r="B11" i="7"/>
  <c r="B23" i="7"/>
  <c r="B35" i="7"/>
  <c r="Q35" i="7" s="1"/>
  <c r="B47" i="7"/>
  <c r="Q47" i="7" s="1"/>
  <c r="B59" i="7"/>
  <c r="Q59" i="7" s="1"/>
  <c r="B71" i="7"/>
  <c r="Q71" i="7" s="1"/>
  <c r="B83" i="7"/>
  <c r="Q83" i="7" s="1"/>
  <c r="B95" i="7"/>
  <c r="Q95" i="7" s="1"/>
  <c r="B13" i="7"/>
  <c r="Q13" i="7" s="1"/>
  <c r="B49" i="7"/>
  <c r="Q49" i="7" s="1"/>
  <c r="B61" i="7"/>
  <c r="Q61" i="7" s="1"/>
  <c r="B73" i="7"/>
  <c r="Q73" i="7" s="1"/>
  <c r="B85" i="7"/>
  <c r="B12" i="7"/>
  <c r="Q12" i="7" s="1"/>
  <c r="B24" i="7"/>
  <c r="B36" i="7"/>
  <c r="Q36" i="7" s="1"/>
  <c r="B48" i="7"/>
  <c r="Q48" i="7" s="1"/>
  <c r="B60" i="7"/>
  <c r="Q60" i="7" s="1"/>
  <c r="B72" i="7"/>
  <c r="Q72" i="7" s="1"/>
  <c r="B84" i="7"/>
  <c r="Q84" i="7" s="1"/>
  <c r="B96" i="7"/>
  <c r="Q96" i="7" s="1"/>
  <c r="B25" i="7"/>
  <c r="Q25" i="7" s="1"/>
  <c r="B14" i="7"/>
  <c r="Q14" i="7" s="1"/>
  <c r="B26" i="7"/>
  <c r="Q26" i="7" s="1"/>
  <c r="B38" i="7"/>
  <c r="B50" i="7"/>
  <c r="B62" i="7"/>
  <c r="B74" i="7"/>
  <c r="Q74" i="7" s="1"/>
  <c r="B86" i="7"/>
  <c r="Q86" i="7" s="1"/>
  <c r="B98" i="7"/>
  <c r="Q98" i="7" s="1"/>
  <c r="B15" i="7"/>
  <c r="Q15" i="7" s="1"/>
  <c r="B27" i="7"/>
  <c r="Q27" i="7" s="1"/>
  <c r="B39" i="7"/>
  <c r="Q39" i="7" s="1"/>
  <c r="B51" i="7"/>
  <c r="Q51" i="7" s="1"/>
  <c r="B63" i="7"/>
  <c r="Q63" i="7" s="1"/>
  <c r="B75" i="7"/>
  <c r="Q75" i="7" s="1"/>
  <c r="B87" i="7"/>
  <c r="B99" i="7"/>
  <c r="D22" i="10" s="1"/>
  <c r="AI28" i="5"/>
  <c r="AJ28" i="5" s="1"/>
  <c r="D25" i="5"/>
  <c r="B8" i="5"/>
  <c r="B30" i="5"/>
  <c r="B29" i="5"/>
  <c r="E25" i="5"/>
  <c r="B25" i="5"/>
  <c r="B27" i="5"/>
  <c r="B28" i="5"/>
  <c r="F25" i="5"/>
  <c r="Z31" i="5"/>
  <c r="AA31" i="5" s="1"/>
  <c r="AB31" i="5" s="1"/>
  <c r="AA6" i="5"/>
  <c r="L91" i="7"/>
  <c r="O91" i="7" s="1"/>
  <c r="L79" i="7"/>
  <c r="O79" i="7" s="1"/>
  <c r="L67" i="7"/>
  <c r="O67" i="7" s="1"/>
  <c r="L87" i="7"/>
  <c r="O87" i="7" s="1"/>
  <c r="L86" i="7"/>
  <c r="O86" i="7" s="1"/>
  <c r="L95" i="7"/>
  <c r="O95" i="7" s="1"/>
  <c r="L82" i="7"/>
  <c r="O82" i="7" s="1"/>
  <c r="L69" i="7"/>
  <c r="O69" i="7" s="1"/>
  <c r="L90" i="7"/>
  <c r="O90" i="7" s="1"/>
  <c r="L78" i="7"/>
  <c r="O78" i="7" s="1"/>
  <c r="L89" i="7"/>
  <c r="O89" i="7" s="1"/>
  <c r="L77" i="7"/>
  <c r="O77" i="7" s="1"/>
  <c r="L88" i="7"/>
  <c r="O88" i="7" s="1"/>
  <c r="L98" i="7"/>
  <c r="O98" i="7" s="1"/>
  <c r="L74" i="7"/>
  <c r="O74" i="7" s="1"/>
  <c r="L97" i="7"/>
  <c r="O97" i="7" s="1"/>
  <c r="L73" i="7"/>
  <c r="O73" i="7" s="1"/>
  <c r="L96" i="7"/>
  <c r="O96" i="7" s="1"/>
  <c r="L84" i="7"/>
  <c r="O84" i="7" s="1"/>
  <c r="L72" i="7"/>
  <c r="O72" i="7" s="1"/>
  <c r="L76" i="7"/>
  <c r="O76" i="7" s="1"/>
  <c r="L75" i="7"/>
  <c r="O75" i="7" s="1"/>
  <c r="L83" i="7"/>
  <c r="O83" i="7" s="1"/>
  <c r="L71" i="7"/>
  <c r="O71" i="7" s="1"/>
  <c r="L81" i="7"/>
  <c r="O81" i="7" s="1"/>
  <c r="L92" i="7"/>
  <c r="O92" i="7" s="1"/>
  <c r="L68" i="7"/>
  <c r="O68" i="7" s="1"/>
  <c r="L85" i="7"/>
  <c r="O85" i="7" s="1"/>
  <c r="L94" i="7"/>
  <c r="O94" i="7" s="1"/>
  <c r="L70" i="7"/>
  <c r="O70" i="7" s="1"/>
  <c r="L93" i="7"/>
  <c r="O93" i="7" s="1"/>
  <c r="L80" i="7"/>
  <c r="O80" i="7" s="1"/>
  <c r="AA5" i="5"/>
  <c r="L55" i="7"/>
  <c r="O55" i="7" s="1"/>
  <c r="L43" i="7"/>
  <c r="O43" i="7" s="1"/>
  <c r="L51" i="7"/>
  <c r="O51" i="7" s="1"/>
  <c r="L62" i="7"/>
  <c r="O62" i="7" s="1"/>
  <c r="L47" i="7"/>
  <c r="O47" i="7" s="1"/>
  <c r="L46" i="7"/>
  <c r="O46" i="7" s="1"/>
  <c r="L66" i="7"/>
  <c r="O66" i="7" s="1"/>
  <c r="L54" i="7"/>
  <c r="O54" i="7" s="1"/>
  <c r="L42" i="7"/>
  <c r="O42" i="7" s="1"/>
  <c r="L65" i="7"/>
  <c r="O65" i="7" s="1"/>
  <c r="L53" i="7"/>
  <c r="O53" i="7" s="1"/>
  <c r="L41" i="7"/>
  <c r="O41" i="7" s="1"/>
  <c r="L64" i="7"/>
  <c r="O64" i="7" s="1"/>
  <c r="L40" i="7"/>
  <c r="O40" i="7" s="1"/>
  <c r="L63" i="7"/>
  <c r="O63" i="7" s="1"/>
  <c r="L39" i="7"/>
  <c r="O39" i="7" s="1"/>
  <c r="L50" i="7"/>
  <c r="O50" i="7" s="1"/>
  <c r="L38" i="7"/>
  <c r="O38" i="7" s="1"/>
  <c r="L61" i="7"/>
  <c r="O61" i="7" s="1"/>
  <c r="L49" i="7"/>
  <c r="O49" i="7" s="1"/>
  <c r="L37" i="7"/>
  <c r="O37" i="7" s="1"/>
  <c r="L60" i="7"/>
  <c r="O60" i="7" s="1"/>
  <c r="L48" i="7"/>
  <c r="O48" i="7" s="1"/>
  <c r="L52" i="7"/>
  <c r="O52" i="7" s="1"/>
  <c r="L35" i="7"/>
  <c r="O35" i="7" s="1"/>
  <c r="L58" i="7"/>
  <c r="O58" i="7" s="1"/>
  <c r="L45" i="7"/>
  <c r="O45" i="7" s="1"/>
  <c r="L44" i="7"/>
  <c r="O44" i="7" s="1"/>
  <c r="L36" i="7"/>
  <c r="O36" i="7" s="1"/>
  <c r="L59" i="7"/>
  <c r="O59" i="7" s="1"/>
  <c r="L57" i="7"/>
  <c r="O57" i="7" s="1"/>
  <c r="L56" i="7"/>
  <c r="O56" i="7" s="1"/>
  <c r="AA7" i="5"/>
  <c r="L31" i="7"/>
  <c r="O31" i="7" s="1"/>
  <c r="L19" i="7"/>
  <c r="O19" i="7" s="1"/>
  <c r="L7" i="7"/>
  <c r="O7" i="7" s="1"/>
  <c r="L26" i="7"/>
  <c r="O26" i="7" s="1"/>
  <c r="L22" i="7"/>
  <c r="O22" i="7" s="1"/>
  <c r="L21" i="7"/>
  <c r="O21" i="7" s="1"/>
  <c r="L30" i="7"/>
  <c r="O30" i="7" s="1"/>
  <c r="L18" i="7"/>
  <c r="O18" i="7" s="1"/>
  <c r="L6" i="7"/>
  <c r="O6" i="7" s="1"/>
  <c r="L29" i="7"/>
  <c r="O29" i="7" s="1"/>
  <c r="L17" i="7"/>
  <c r="O17" i="7" s="1"/>
  <c r="L5" i="7"/>
  <c r="O5" i="7" s="1"/>
  <c r="L16" i="7"/>
  <c r="O16" i="7" s="1"/>
  <c r="L4" i="7"/>
  <c r="O4" i="7" s="1"/>
  <c r="L27" i="7"/>
  <c r="O27" i="7" s="1"/>
  <c r="L15" i="7"/>
  <c r="O15" i="7" s="1"/>
  <c r="L3" i="7"/>
  <c r="O3" i="7" s="1"/>
  <c r="L14" i="7"/>
  <c r="O14" i="7" s="1"/>
  <c r="L25" i="7"/>
  <c r="O25" i="7" s="1"/>
  <c r="L13" i="7"/>
  <c r="O13" i="7" s="1"/>
  <c r="L24" i="7"/>
  <c r="O24" i="7" s="1"/>
  <c r="L12" i="7"/>
  <c r="O12" i="7" s="1"/>
  <c r="L28" i="7"/>
  <c r="O28" i="7" s="1"/>
  <c r="L23" i="7"/>
  <c r="O23" i="7" s="1"/>
  <c r="L10" i="7"/>
  <c r="O10" i="7" s="1"/>
  <c r="L33" i="7"/>
  <c r="O33" i="7" s="1"/>
  <c r="L9" i="7"/>
  <c r="O9" i="7" s="1"/>
  <c r="L20" i="7"/>
  <c r="O20" i="7" s="1"/>
  <c r="L11" i="7"/>
  <c r="O11" i="7" s="1"/>
  <c r="L34" i="7"/>
  <c r="O34" i="7" s="1"/>
  <c r="L32" i="7"/>
  <c r="O32" i="7" s="1"/>
  <c r="L8" i="7"/>
  <c r="O8" i="7" s="1"/>
  <c r="AA30" i="5"/>
  <c r="AB30" i="5" s="1"/>
  <c r="AA29" i="5"/>
  <c r="AB29" i="5" s="1"/>
  <c r="AA27" i="5"/>
  <c r="AB27" i="5" s="1"/>
  <c r="AA28" i="5"/>
  <c r="AB28" i="5" s="1"/>
  <c r="Q19" i="7"/>
  <c r="Q68" i="7"/>
  <c r="Q90" i="7"/>
  <c r="Q41" i="7"/>
  <c r="Q44" i="7"/>
  <c r="Q10" i="7"/>
  <c r="Q81" i="7"/>
  <c r="Q32" i="7"/>
  <c r="Q53" i="7"/>
  <c r="Q78" i="7"/>
  <c r="Q93" i="7"/>
  <c r="Q22" i="7"/>
  <c r="Q23" i="7"/>
  <c r="Q11" i="7"/>
  <c r="Q4" i="7"/>
  <c r="Q28" i="7"/>
  <c r="Q16" i="7"/>
  <c r="Q87" i="7"/>
  <c r="Q62" i="7"/>
  <c r="Q50" i="7"/>
  <c r="Q38" i="7"/>
  <c r="Q85" i="7"/>
  <c r="Q24" i="7"/>
  <c r="I31" i="5" l="1"/>
  <c r="H27" i="5"/>
  <c r="I29" i="5"/>
  <c r="I27" i="5"/>
  <c r="I28" i="5"/>
  <c r="H28" i="5"/>
  <c r="H31" i="5"/>
  <c r="I30" i="5"/>
  <c r="H30" i="5"/>
  <c r="H29" i="5"/>
  <c r="W28" i="5"/>
  <c r="W29" i="5"/>
  <c r="W30" i="5"/>
  <c r="W31" i="5"/>
  <c r="W27" i="5"/>
  <c r="H61" i="5"/>
  <c r="M2" i="5"/>
  <c r="B18" i="5" l="1"/>
  <c r="B16" i="5"/>
  <c r="B14" i="5"/>
  <c r="B12" i="5"/>
  <c r="B10" i="5"/>
  <c r="B9" i="5"/>
  <c r="B17" i="5"/>
  <c r="B15" i="5"/>
  <c r="B13" i="5"/>
  <c r="B20" i="5"/>
  <c r="B22" i="5"/>
  <c r="B21" i="5"/>
  <c r="B19" i="5"/>
  <c r="B31" i="5"/>
  <c r="Q2" i="11"/>
  <c r="Q2" i="10"/>
  <c r="R30" i="10"/>
  <c r="L2" i="1"/>
  <c r="C8" i="11"/>
  <c r="I8" i="1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<sst xmlns="http://schemas.openxmlformats.org/spreadsheetml/2006/main" count="1532" uniqueCount="1140">
  <si>
    <t>CZ</t>
  </si>
  <si>
    <t>SK</t>
  </si>
  <si>
    <t>PL</t>
  </si>
  <si>
    <t>HU</t>
  </si>
  <si>
    <t>EN</t>
  </si>
  <si>
    <t>česky</t>
  </si>
  <si>
    <t>slovensky</t>
  </si>
  <si>
    <t>polsky</t>
  </si>
  <si>
    <t>madarsky</t>
  </si>
  <si>
    <t>anglicky</t>
  </si>
  <si>
    <t>Úvod</t>
  </si>
  <si>
    <t>Zásuvky s čelom</t>
  </si>
  <si>
    <t>Vnútorné zásuvky</t>
  </si>
  <si>
    <t>Vnitřní zásuvky</t>
  </si>
  <si>
    <t>Výška korpusu (A)</t>
  </si>
  <si>
    <t>Šířka korpusu (B)</t>
  </si>
  <si>
    <t>Tloušťka dna a půdy (C)</t>
  </si>
  <si>
    <t>Tloušťka boků (D)</t>
  </si>
  <si>
    <t>Mezera mezi čely (F)</t>
  </si>
  <si>
    <t>Mezera nahoře (E)</t>
  </si>
  <si>
    <t>Mezera dole (G)</t>
  </si>
  <si>
    <t>Mezera na stranách (H)</t>
  </si>
  <si>
    <t>Počet zásuvek</t>
  </si>
  <si>
    <t>Bude čelo s úchytovým profilem?</t>
  </si>
  <si>
    <t>ano</t>
  </si>
  <si>
    <t>Výška úchytového profilu v mm (J)</t>
  </si>
  <si>
    <t>ne</t>
  </si>
  <si>
    <t>Pozice výsuvu</t>
  </si>
  <si>
    <t>1. zásuvka</t>
  </si>
  <si>
    <t>2. zásuvka</t>
  </si>
  <si>
    <t>3. zásuvka</t>
  </si>
  <si>
    <t>4. zásuvka</t>
  </si>
  <si>
    <t>5. zásuvka</t>
  </si>
  <si>
    <t>odečet od celkové výšky</t>
  </si>
  <si>
    <t>výška úchytového profilu</t>
  </si>
  <si>
    <t>S*</t>
  </si>
  <si>
    <t>K-StrongMax 18 185/350mm 40kg, černá</t>
  </si>
  <si>
    <t>O</t>
  </si>
  <si>
    <t>K-StrongMax 18 89/300mm 40kg, tmavě šedá</t>
  </si>
  <si>
    <t>K-StrongMax 18 89/350mm 40kg, tmavě šedá</t>
  </si>
  <si>
    <t>K-StrongMax 18 89/400mm 40kg, tmavě šedá</t>
  </si>
  <si>
    <t>K-StrongMax 18 89/450mm 40kg, tmavě šedá</t>
  </si>
  <si>
    <t>K-StrongMax 18 89/500mm 40kg, tmavě šedá</t>
  </si>
  <si>
    <t>K-StrongMax 18 89/550mm 40kg, tmavě šedá</t>
  </si>
  <si>
    <t>K-StrongMax 18 89/600mm 40kg, tmavě šedá</t>
  </si>
  <si>
    <t>K-StrongMax 18 89/650mm 40kg, tmavě šedá</t>
  </si>
  <si>
    <t>K-StrongMax 18 121/300mm 40kg, tmavě šedá</t>
  </si>
  <si>
    <t>K-StrongMax 18 121/350mm 40kg, tmavě šedá</t>
  </si>
  <si>
    <t>K-StrongMax 18 121/400mm 40kg, tmavě šedá</t>
  </si>
  <si>
    <t>K-StrongMax 18 121/450mm 40kg, tmavě šedá</t>
  </si>
  <si>
    <t>K-StrongMax 18 121/500mm 40kg, tmavě šedá</t>
  </si>
  <si>
    <t>K-StrongMax 18 121/550mm 40kg, tmavě šedá</t>
  </si>
  <si>
    <t>K-StrongMax 18 121/600mm 40kg, tmavě šedá</t>
  </si>
  <si>
    <t>K-StrongMax 18 121/650mm 40kg, tmavě šedá</t>
  </si>
  <si>
    <t>K-StrongMax 18 185/300mm 40kg, tmavě šedá</t>
  </si>
  <si>
    <t>K-StrongMax 18 185/350mm 40kg, tmavě šedá</t>
  </si>
  <si>
    <t>K-StrongMax 18 185/400mm 40kg, tmavě šedá</t>
  </si>
  <si>
    <t>K-StrongMax 18 185/450mm 40kg, tmavě šedá</t>
  </si>
  <si>
    <t>K-StrongMax 18 185/500mm 40kg, tmavě šedá</t>
  </si>
  <si>
    <t>K-StrongMax 18 185/550mm 40kg, tmavě šedá</t>
  </si>
  <si>
    <t>K-StrongMax 18 185/600mm 40kg, tmavě šedá</t>
  </si>
  <si>
    <t>K-StrongMax 18 185/650mm 40kg, tmavě šedá</t>
  </si>
  <si>
    <t>K-StrongMax 18 249/450mm 40kg, tmavě šedá</t>
  </si>
  <si>
    <t>K-StrongMax 18 249/500mm 40kg, tmavě šedá</t>
  </si>
  <si>
    <t>K-StrongMax 18 249/550mm 40kg, tmavě šedá</t>
  </si>
  <si>
    <t>K-StrongMax 18 249/600mm 40kg, tmavě šedá</t>
  </si>
  <si>
    <t>K-StrongMax 18 249/650mm 40kg, tmavě šedá</t>
  </si>
  <si>
    <t>K-StrongMax 18 185/450mm 40kg, prosklené bočnice, tmavě šedá</t>
  </si>
  <si>
    <t>K-StrongMax 18 185/500mm 40kg, prosklené bočnice, tmavě šedá</t>
  </si>
  <si>
    <t>K-StrongMax 18 185/550mm 40kg, prosklené bočnice, tmavě šedá</t>
  </si>
  <si>
    <t>K-StrongMax 18 89/300mm 40kg, bílá</t>
  </si>
  <si>
    <t>K-StrongMax 18 89/350mm 40kg, bílá</t>
  </si>
  <si>
    <t>K-StrongMax 18 89/400mm 40kg, bílá</t>
  </si>
  <si>
    <t>K-StrongMax 18 89/450mm 40kg, bílá</t>
  </si>
  <si>
    <t>K-StrongMax 18 89/500mm 40kg, bílá</t>
  </si>
  <si>
    <t>K-StrongMax 18 89/550mm 40kg, bílá</t>
  </si>
  <si>
    <t>K-StrongMax 18 89/600mm 40kg, bílá</t>
  </si>
  <si>
    <t>K-StrongMax 18 89/650mm 40kg, bílá</t>
  </si>
  <si>
    <t>K-StrongMax 18 121/300mm 40kg, bílá</t>
  </si>
  <si>
    <t>K-StrongMax 18 121/350mm 40kg, bílá</t>
  </si>
  <si>
    <t>K-StrongMax 18 121/400mm 40kg, bílá</t>
  </si>
  <si>
    <t>K-StrongMax 18 121/450mm 40kg, bílá</t>
  </si>
  <si>
    <t>K-StrongMax 18 121/500mm 40kg, bílá</t>
  </si>
  <si>
    <t>K-StrongMax 18 121/550mm 40kg, bílá</t>
  </si>
  <si>
    <t>K-StrongMax 18 121/600mm 40kg, bílá</t>
  </si>
  <si>
    <t>K-StrongMax 18 121/650mm 40kg, bílá</t>
  </si>
  <si>
    <t>K-StrongMax 18 185/300mm 40kg, bílá</t>
  </si>
  <si>
    <t>K-StrongMax 18 185/350mm 40kg, bílá</t>
  </si>
  <si>
    <t>K-StrongMax 18 185/400mm 40kg, bílá</t>
  </si>
  <si>
    <t>K-StrongMax 18 185/450mm 40kg, bílá</t>
  </si>
  <si>
    <t>K-StrongMax 18 185/500mm 40kg, bílá</t>
  </si>
  <si>
    <t>K-StrongMax 18 185/550mm 40kg, bílá</t>
  </si>
  <si>
    <t>K-StrongMax 18 185/600mm 40kg, bílá</t>
  </si>
  <si>
    <t>K-StrongMax 18 185/650mm 40kg, bílá</t>
  </si>
  <si>
    <t>K-StrongMax 18 249/450mm 40kg, bílá</t>
  </si>
  <si>
    <t>K-StrongMax 18 249/500mm 40kg, bílá</t>
  </si>
  <si>
    <t>K-StrongMax 18 249/550mm 40kg, bílá</t>
  </si>
  <si>
    <t>K-StrongMax 18 249/600mm 40kg, bílá</t>
  </si>
  <si>
    <t>K-StrongMax 18 249/650mm 40kg, bílá</t>
  </si>
  <si>
    <t>K-StrongMax 18 185/450mm 40kg, prosklené bočnice, bílá</t>
  </si>
  <si>
    <t>K-StrongMax 18 185/500mm 40kg, prosklené bočnice, bílá</t>
  </si>
  <si>
    <t>K-StrongMax 18 185/550mm 40kg, prosklené bočnice, bílá</t>
  </si>
  <si>
    <t>K-StrongMax 18 89/450mm 40kg, černá</t>
  </si>
  <si>
    <t>K-StrongMax 18 89/500mm 40kg, černá</t>
  </si>
  <si>
    <t>K-StrongMax 18 121/450mm 40kg, černá</t>
  </si>
  <si>
    <t>K-StrongMax 18 121/500mm 40kg, černá</t>
  </si>
  <si>
    <t>K-StrongMax 18 185/450mm 40kg, černá</t>
  </si>
  <si>
    <t>K-StrongMax 18 185/500mm 40kg, černá</t>
  </si>
  <si>
    <t>K-StrongMax 18 249/450mm 40kg, černá</t>
  </si>
  <si>
    <t>K-StrongMax 18 249/500mm 40kg, černá</t>
  </si>
  <si>
    <t>K-StrongMax 18 185/450mm 40kg, prosklené bočnice, černá</t>
  </si>
  <si>
    <t>K-StrongMax 18 185/500mm 40kg, prosklené bočnice, černá</t>
  </si>
  <si>
    <t>K-StrongMax 18 121/300mm 40kg, černá</t>
  </si>
  <si>
    <t>K-StrongMax 18 121/350mm 40kg, černá</t>
  </si>
  <si>
    <t>K-StrongMax 18 121/400mm 40kg, černá</t>
  </si>
  <si>
    <t>K-StrongMax 18 121/550mm 40kg, černá</t>
  </si>
  <si>
    <t>K-StrongMax 18 121/600mm 40kg, černá</t>
  </si>
  <si>
    <t>K-StrongMax 18 121/650mm 40kg, černá</t>
  </si>
  <si>
    <t>K-StrongMax 18 185/300mm 40kg, černá</t>
  </si>
  <si>
    <t>K-StrongMax 18 185/400mm 40kg, černá</t>
  </si>
  <si>
    <t>K-StrongMax 18 185/550mm 40kg, černá</t>
  </si>
  <si>
    <t>K-StrongMax 18 185/550mm 40kg, prosklené bočnice, černá</t>
  </si>
  <si>
    <t>K-StrongMax 18 185/600mm 40kg, černá</t>
  </si>
  <si>
    <t>K-StrongMax 18 185/650mm 40kg, černá</t>
  </si>
  <si>
    <t>K-StrongMax 18 249/550mm 40kg, černá</t>
  </si>
  <si>
    <t>K-StrongMax 18 249/600mm 40kg, černá</t>
  </si>
  <si>
    <t>K-StrongMax 18 249/650mm 40kg, černá</t>
  </si>
  <si>
    <t>K-StrongMax 18 89/300mm 40kg, černá</t>
  </si>
  <si>
    <t>K-StrongMax 18 89/350mm 40kg, černá</t>
  </si>
  <si>
    <t>K-StrongMax 18 89/400mm 40kg, černá</t>
  </si>
  <si>
    <t>K-StrongMax 18 89/550mm 40kg, černá</t>
  </si>
  <si>
    <t>K-StrongMax 18 89/600mm 40kg, černá</t>
  </si>
  <si>
    <t>K-StrongMax 18 89/650mm 40kg, černá</t>
  </si>
  <si>
    <t>Kód</t>
  </si>
  <si>
    <t>503030</t>
  </si>
  <si>
    <t>503031</t>
  </si>
  <si>
    <t>503032</t>
  </si>
  <si>
    <t>503033</t>
  </si>
  <si>
    <t>503034</t>
  </si>
  <si>
    <t>503035</t>
  </si>
  <si>
    <t>503036</t>
  </si>
  <si>
    <t>503037</t>
  </si>
  <si>
    <t>503038</t>
  </si>
  <si>
    <t>503039</t>
  </si>
  <si>
    <t>503040</t>
  </si>
  <si>
    <t>503041</t>
  </si>
  <si>
    <t>503042</t>
  </si>
  <si>
    <t>503043</t>
  </si>
  <si>
    <t>503044</t>
  </si>
  <si>
    <t>503045</t>
  </si>
  <si>
    <t>503046</t>
  </si>
  <si>
    <t>503047</t>
  </si>
  <si>
    <t>503048</t>
  </si>
  <si>
    <t>503049</t>
  </si>
  <si>
    <t>503050</t>
  </si>
  <si>
    <t>503051</t>
  </si>
  <si>
    <t>503052</t>
  </si>
  <si>
    <t>503053</t>
  </si>
  <si>
    <t>503054</t>
  </si>
  <si>
    <t>503055</t>
  </si>
  <si>
    <t>503056</t>
  </si>
  <si>
    <t>503057</t>
  </si>
  <si>
    <t>503058</t>
  </si>
  <si>
    <t>503059</t>
  </si>
  <si>
    <t>503060</t>
  </si>
  <si>
    <t>503061</t>
  </si>
  <si>
    <t>503062</t>
  </si>
  <si>
    <t>503063</t>
  </si>
  <si>
    <t>503064</t>
  </si>
  <si>
    <t>503065</t>
  </si>
  <si>
    <t>503066</t>
  </si>
  <si>
    <t>503067</t>
  </si>
  <si>
    <t>503068</t>
  </si>
  <si>
    <t>503069</t>
  </si>
  <si>
    <t>503070</t>
  </si>
  <si>
    <t>503071</t>
  </si>
  <si>
    <t>503072</t>
  </si>
  <si>
    <t>503073</t>
  </si>
  <si>
    <t>503074</t>
  </si>
  <si>
    <t>503075</t>
  </si>
  <si>
    <t>503076</t>
  </si>
  <si>
    <t>503077</t>
  </si>
  <si>
    <t>503078</t>
  </si>
  <si>
    <t>503079</t>
  </si>
  <si>
    <t>503080</t>
  </si>
  <si>
    <t>503081</t>
  </si>
  <si>
    <t>503082</t>
  </si>
  <si>
    <t>503083</t>
  </si>
  <si>
    <t>503084</t>
  </si>
  <si>
    <t>503085</t>
  </si>
  <si>
    <t>503086</t>
  </si>
  <si>
    <t>503087</t>
  </si>
  <si>
    <t>503088</t>
  </si>
  <si>
    <t>503089</t>
  </si>
  <si>
    <t>503090</t>
  </si>
  <si>
    <t>503091</t>
  </si>
  <si>
    <t>503092</t>
  </si>
  <si>
    <t>503093</t>
  </si>
  <si>
    <t>503094</t>
  </si>
  <si>
    <t>503095</t>
  </si>
  <si>
    <t>503096</t>
  </si>
  <si>
    <t>503097</t>
  </si>
  <si>
    <t>503098</t>
  </si>
  <si>
    <t>503099</t>
  </si>
  <si>
    <t>503100</t>
  </si>
  <si>
    <t>503101</t>
  </si>
  <si>
    <t>503102</t>
  </si>
  <si>
    <t>503103</t>
  </si>
  <si>
    <t>512027</t>
  </si>
  <si>
    <t>512028</t>
  </si>
  <si>
    <t>512029</t>
  </si>
  <si>
    <t>512030</t>
  </si>
  <si>
    <t>512031</t>
  </si>
  <si>
    <t>512032</t>
  </si>
  <si>
    <t>512033</t>
  </si>
  <si>
    <t>512034</t>
  </si>
  <si>
    <t>512035</t>
  </si>
  <si>
    <t>512036</t>
  </si>
  <si>
    <t>512037</t>
  </si>
  <si>
    <t>512038</t>
  </si>
  <si>
    <t>512039</t>
  </si>
  <si>
    <t>512040</t>
  </si>
  <si>
    <t>512041</t>
  </si>
  <si>
    <t>512042</t>
  </si>
  <si>
    <t>512043</t>
  </si>
  <si>
    <t>512044</t>
  </si>
  <si>
    <t>512045</t>
  </si>
  <si>
    <t>512046</t>
  </si>
  <si>
    <t>512047</t>
  </si>
  <si>
    <t>512048</t>
  </si>
  <si>
    <t>K-StrongMax 18 185/350mm 40kg, čierna</t>
  </si>
  <si>
    <t>K-StrongMax 18 89/300mm 40kg, tmavosivá</t>
  </si>
  <si>
    <t>K-StrongMax 18 89/350mm 40kg, tmavosivá</t>
  </si>
  <si>
    <t>K-StrongMax 18 89/400mm 40kg, tmavosivá</t>
  </si>
  <si>
    <t>K-StrongMax 18 89/450mm 40kg, tmavosivá</t>
  </si>
  <si>
    <t>K-StrongMax 18 89/500mm 40kg, tmavosivá</t>
  </si>
  <si>
    <t>K-StrongMax 18 89/550mm 40kg, tmavosivá</t>
  </si>
  <si>
    <t>K-StrongMax 18 89/600mm 40kg, tmavosivá</t>
  </si>
  <si>
    <t>K-StrongMax 18 89/650mm 40kg, tmavosivá</t>
  </si>
  <si>
    <t>K-StrongMax 18 121/300mm 40kg, tmavosivá</t>
  </si>
  <si>
    <t>K-StrongMax 18 121/350mm 40kg, tmavosivá</t>
  </si>
  <si>
    <t>K-StrongMax 18 121/400mm 40kg, tmavosivá</t>
  </si>
  <si>
    <t>K-StrongMax 18 121/450mm 40kg, tmavosivá</t>
  </si>
  <si>
    <t>K-StrongMax 18 121/500mm 40kg, tmavosivá</t>
  </si>
  <si>
    <t>K-StrongMax 18 121/550mm 40kg, tmavosivá</t>
  </si>
  <si>
    <t>K-StrongMax 18 121/600mm 40kg, tmavosivá</t>
  </si>
  <si>
    <t>K-StrongMax 18 121/650mm 40kg, tmavosivá</t>
  </si>
  <si>
    <t>K-StrongMax 18 185/300mm 40kg, tmavosivá</t>
  </si>
  <si>
    <t>K-StrongMax 18 185/350mm 40kg, tmavosivá</t>
  </si>
  <si>
    <t>K-StrongMax 18 185/400mm 40kg, tmavosivá</t>
  </si>
  <si>
    <t>K-StrongMax 18 185/450mm 40kg, tmavosivá</t>
  </si>
  <si>
    <t>K-StrongMax 18 185/500mm 40kg, tmavosivá</t>
  </si>
  <si>
    <t>K-StrongMax 18 185/550mm 40kg, tmavosivá</t>
  </si>
  <si>
    <t>K-StrongMax 18 185/600mm 40kg, tmavosivá</t>
  </si>
  <si>
    <t>K-StrongMax 18 185/650mm 40kg, tmavosivá</t>
  </si>
  <si>
    <t>K-StrongMax 18 249/450mm 40kg, tmavosivá</t>
  </si>
  <si>
    <t>K-StrongMax 18 249/500mm 40kg, tmavosivá</t>
  </si>
  <si>
    <t>K-StrongMax 18 249/550mm 40kg, tmavosivá</t>
  </si>
  <si>
    <t>K-StrongMax 18 249/600mm 40kg, tmavosivá</t>
  </si>
  <si>
    <t>K-StrongMax 18 249/650mm 40kg, tmavosivá</t>
  </si>
  <si>
    <t>K-StrongMax 18 185/450mm 40kg, presklená bočnica, tmavosivá</t>
  </si>
  <si>
    <t>K-StrongMax 18 185/500mm 40kg, presklená bočnica, tmavosivá</t>
  </si>
  <si>
    <t>K-StrongMax 18 185/550mm 40kg, presklená bočnica, tmavosivá</t>
  </si>
  <si>
    <t>K-StrongMax 18 89/300mm 40kg, biela</t>
  </si>
  <si>
    <t>K-StrongMax 18 89/350mm 40kg, biela</t>
  </si>
  <si>
    <t>K-StrongMax 18 89/400mm 40kg, biela</t>
  </si>
  <si>
    <t>K-StrongMax 18 89/450mm 40kg, biela</t>
  </si>
  <si>
    <t>K-StrongMax 18 89/500mm 40kg, biela</t>
  </si>
  <si>
    <t>K-StrongMax 18 89/550mm 40kg, biela</t>
  </si>
  <si>
    <t>K-StrongMax 18 89/600mm 40kg, biela</t>
  </si>
  <si>
    <t>K-StrongMax 18 89/650mm 40kg, biela</t>
  </si>
  <si>
    <t>K-StrongMax 18 121/300mm 40kg, biela</t>
  </si>
  <si>
    <t>K-StrongMax 18 121/350mm 40kg, biela</t>
  </si>
  <si>
    <t>K-StrongMax 18 121/400mm 40kg, biela</t>
  </si>
  <si>
    <t>K-StrongMax 18 121/450mm 40kg, biela</t>
  </si>
  <si>
    <t>K-StrongMax 18 121/500mm 40kg, biela</t>
  </si>
  <si>
    <t>K-StrongMax 18 121/550mm 40kg, biela</t>
  </si>
  <si>
    <t>K-StrongMax 18 121/600mm 40kg, biela</t>
  </si>
  <si>
    <t>K-StrongMax 18 121/650mm 40kg, biela</t>
  </si>
  <si>
    <t>K-StrongMax 18 185/300mm 40kg, biela</t>
  </si>
  <si>
    <t>K-StrongMax 18 185/350mm 40kg, biela</t>
  </si>
  <si>
    <t>K-StrongMax 18 185/400mm 40kg, biela</t>
  </si>
  <si>
    <t>K-StrongMax 18 185/450mm 40kg, biela</t>
  </si>
  <si>
    <t>K-StrongMax 18 185/500mm 40kg, biela</t>
  </si>
  <si>
    <t>K-StrongMax 18 185/550mm 40kg, biela</t>
  </si>
  <si>
    <t>K-StrongMax 18 185/600mm 40kg, biela</t>
  </si>
  <si>
    <t>K-StrongMax 18 185/650mm 40kg, biela</t>
  </si>
  <si>
    <t>K-StrongMax 18 249/450mm 40kg, biela</t>
  </si>
  <si>
    <t>K-StrongMax 18 249/500mm 40kg, biela</t>
  </si>
  <si>
    <t>K-StrongMax 18 249/550mm 40kg, biela</t>
  </si>
  <si>
    <t>K-StrongMax 18 249/600mm 40kg, biela</t>
  </si>
  <si>
    <t>K-StrongMax 18 249/650mm 40kg, biela</t>
  </si>
  <si>
    <t>K-StrongMax 18 185/450mm 40kg, presklená bočnica, biela</t>
  </si>
  <si>
    <t>K-StrongMax 18 185/500mm 40kg, presklená bočnica, biela</t>
  </si>
  <si>
    <t>K-StrongMax 18 185/550mm 40kg, presklená bočnica, biela</t>
  </si>
  <si>
    <t>K-StrongMax 18 89/450mm 40kg, čierna</t>
  </si>
  <si>
    <t>K-StrongMax 18 89/500mm 40kg, čierna</t>
  </si>
  <si>
    <t>K-StrongMax 18 121/450mm 40kg, čierna</t>
  </si>
  <si>
    <t>K-StrongMax 18 121/500mm 40kg, čierna</t>
  </si>
  <si>
    <t>K-StrongMax 18 185/450mm 40kg, čierna</t>
  </si>
  <si>
    <t>K-StrongMax 18 185/500mm 40kg, čierna</t>
  </si>
  <si>
    <t>K-StrongMax 18 249/450mm 40kg, čierna</t>
  </si>
  <si>
    <t>K-StrongMax 18 249/500mm 40kg, čierna</t>
  </si>
  <si>
    <t>K-StrongMax 18 185/450mm 40kg, presklená bočnica, čierna</t>
  </si>
  <si>
    <t>K-StrongMax 18 185/500mm 40kg, presklená bočnica, čierna</t>
  </si>
  <si>
    <t>K-StrongMax 18 121/300mm 40kg,čierna</t>
  </si>
  <si>
    <t>K-StrongMax 18 121/350mm 40kg, čierna</t>
  </si>
  <si>
    <t>K-StrongMax 18 121/400mm 40kg, čierna</t>
  </si>
  <si>
    <t>K-StrongMax 18 121/550mm 440kg, čierna</t>
  </si>
  <si>
    <t>K-StrongMax 18 121/600mm 40kg,čierna</t>
  </si>
  <si>
    <t>K-StrongMax 18 121/650mm 40kg, čierna</t>
  </si>
  <si>
    <t>K-StrongMax 18 185/300mm 40kg, čierna</t>
  </si>
  <si>
    <t>K-StrongMax 18 185/400mm 40kg, čierna</t>
  </si>
  <si>
    <t>K-StrongMax 18 185/550mm 40kg, čierna</t>
  </si>
  <si>
    <t>K-StrongMax 18 185/550mm 40kg,presklenné bočnice,čierna</t>
  </si>
  <si>
    <t>K-StrongMax 18 185/600mm 40kg, čierna</t>
  </si>
  <si>
    <t>K-StrongMax 18 185/650mm 40kg, čierna</t>
  </si>
  <si>
    <t>K-StrongMax 18 249/550mm 40kt, čierna</t>
  </si>
  <si>
    <t>K-StrongMax 18 249/600mm 40kg, čierna</t>
  </si>
  <si>
    <t>K-StrongMax 18 249/650mm 40kg, čierna</t>
  </si>
  <si>
    <t>K-StrongMax 18 89/300mm 40kg, čierna</t>
  </si>
  <si>
    <t>K-StrongMax 18 89/350mm 40kg, čierna</t>
  </si>
  <si>
    <t>K-StrongMax 18 89/400mm 40kg, čierna</t>
  </si>
  <si>
    <t>K-StrongMax 18 89/550mm 40kg, čierna</t>
  </si>
  <si>
    <t>K-StrongMax 18 89/600mm 40kg, čierna</t>
  </si>
  <si>
    <t>K-StrongMax 18 89/650mm 40kg, čierna</t>
  </si>
  <si>
    <t>Dodání</t>
  </si>
  <si>
    <t>K-StrongMax 18 89/300mm 40kg, ciemnoszary</t>
  </si>
  <si>
    <t>K-StrongMax 18 89/350mm 40kg, ciemnoszary</t>
  </si>
  <si>
    <t>K-StrongMax 18 89/400mm 40kg, ciemnoszary</t>
  </si>
  <si>
    <t>K-StrongMax 18 89/450mm 40kg, ciemnoszary</t>
  </si>
  <si>
    <t>K-StrongMax 18 89/500mm 40kg, ciemnoszary</t>
  </si>
  <si>
    <t>K-StrongMax 18 89/550mm 40kg, ciemnoszary</t>
  </si>
  <si>
    <t>K-StrongMax 18 89/600mm 40kg, ciemnoszary</t>
  </si>
  <si>
    <t>K-StrongMax 18 89/650mm 40kg, ciemnoszary</t>
  </si>
  <si>
    <t>K-StrongMax 18 121/300mm 40kg, ciemnoszary</t>
  </si>
  <si>
    <t>K-StrongMax 18 121/350mm 40kg, ciemnoszary</t>
  </si>
  <si>
    <t>K-StrongMax 18 121/400mm 40kg, ciemnoszary</t>
  </si>
  <si>
    <t>K-StrongMax 18 121/450mm 40kg, ciemnoszary</t>
  </si>
  <si>
    <t>K-StrongMax 18 121/500mm 40kg, ciemnoszary</t>
  </si>
  <si>
    <t>K-StrongMax 18 121/550mm 40kg, ciemnoszary</t>
  </si>
  <si>
    <t>K-StrongMax 18 121/600mm 40kg, ciemnoszary</t>
  </si>
  <si>
    <t>K-StrongMax 18 121/650mm 40kg, ciemnoszary</t>
  </si>
  <si>
    <t>K-StrongMax 18 185/300mm 40kg, ciemnoszary</t>
  </si>
  <si>
    <t>K-StrongMax 18 185/350mm 40kg, ciemnoszary</t>
  </si>
  <si>
    <t>K-StrongMax 18 185/400mm 40kg, ciemnoszary</t>
  </si>
  <si>
    <t>K-StrongMax 18 185/450mm 40kg, ciemnoszary</t>
  </si>
  <si>
    <t>K-StrongMax 18 185/500mm 40kg, ciemnoszary</t>
  </si>
  <si>
    <t>K-StrongMax 18 185/550mm 40kg, ciemnoszary</t>
  </si>
  <si>
    <t>K-StrongMax 18 185/600mm 40kg, ciemnoszary</t>
  </si>
  <si>
    <t>K-StrongMax 18 185/650mm 40kg, ciemnoszary</t>
  </si>
  <si>
    <t>K-StrongMax 18 249/450mm 40kg, ciemnoszary</t>
  </si>
  <si>
    <t>K-StrongMax 18 249/500mm 40kg, ciemnoszary</t>
  </si>
  <si>
    <t>K-StrongMax 18 249/550mm 40kg, ciemnoszary</t>
  </si>
  <si>
    <t>K-StrongMax 18 249/600mm 40kg, ciemnoszary</t>
  </si>
  <si>
    <t>K-StrongMax 18 249/650mm 40kg, ciemnoszary</t>
  </si>
  <si>
    <t>K-StrongMax 18 185/450mm 40kg, przeszklone boki, ciemnoszary</t>
  </si>
  <si>
    <t>K-StrongMax 18 185/500mm 40kg, przeszklone boki, ciemnoszary</t>
  </si>
  <si>
    <t>K-StrongMax 18 185/550mm 40kg, przeszklone boki, ciemnoszary</t>
  </si>
  <si>
    <t>K-StrongMax 18 89/300mm 40kg, biały</t>
  </si>
  <si>
    <t>K-StrongMax 18 89/350mm 40kg, biały</t>
  </si>
  <si>
    <t>K-StrongMax 18 89/400mm 40kg, biały</t>
  </si>
  <si>
    <t>K-StrongMax 18 89/450mm 40kg, biały</t>
  </si>
  <si>
    <t>K-StrongMax 18 89/500mm 40kg, biały</t>
  </si>
  <si>
    <t>K-StrongMax 18 89/550mm 40kg, biały</t>
  </si>
  <si>
    <t>K-StrongMax 18 89/600mm 40kg, biały</t>
  </si>
  <si>
    <t>K-StrongMax 18 89/650mm 40kg, biały</t>
  </si>
  <si>
    <t>K-StrongMax 18 121/300mm 40kg, biały</t>
  </si>
  <si>
    <t>K-StrongMax 18 121/350mm 40kg, biały</t>
  </si>
  <si>
    <t>K-StrongMax 18 121/400mm 40kg, biały</t>
  </si>
  <si>
    <t>K-StrongMax 18 121/450mm 40kg, biały</t>
  </si>
  <si>
    <t>K-StrongMax 18 121/500mm 40kg, biały</t>
  </si>
  <si>
    <t>K-StrongMax 18 121/550mm 40kg, biały</t>
  </si>
  <si>
    <t>K-StrongMax 18 121/600mm 40kg, biały</t>
  </si>
  <si>
    <t>K-StrongMax 18 121/650mm 40kg, biały</t>
  </si>
  <si>
    <t>K-StrongMax 18 185/300mm 40kg, biały</t>
  </si>
  <si>
    <t>K-StrongMax 18 185/350mm 40kg, biały</t>
  </si>
  <si>
    <t>K-StrongMax 18 185/400mm 40kg, biały</t>
  </si>
  <si>
    <t>K-StrongMax 18 185/450mm 40kg, biały</t>
  </si>
  <si>
    <t>K-StrongMax 18 185/500mm 40kg, biały</t>
  </si>
  <si>
    <t>K-StrongMax 18 185/550mm 40kg, biały</t>
  </si>
  <si>
    <t>K-StrongMax 18 185/600mm 40kg, biały</t>
  </si>
  <si>
    <t>K-StrongMax 18 185/650mm 40kg, biały</t>
  </si>
  <si>
    <t>K-StrongMax 18 249/450mm 40kg, biały</t>
  </si>
  <si>
    <t>K-StrongMax 18 249/500mm 40kg, biały</t>
  </si>
  <si>
    <t>K-StrongMax 18 249/550mm 40kg, biały</t>
  </si>
  <si>
    <t>K-StrongMax 18 249/600mm 40kg, biały</t>
  </si>
  <si>
    <t>K-StrongMax 18 249/650mm 40kg, biały</t>
  </si>
  <si>
    <t>K-StrongMax 18 185/450mm 40kg, przeszklone boki, biały</t>
  </si>
  <si>
    <t>K-StrongMax 18 185/500mm 40kg, przeszklone boki, biały</t>
  </si>
  <si>
    <t>K-StrongMax 18 185/550mm 40kg, przeszklone boki, biały</t>
  </si>
  <si>
    <t>K-StrongMax 18 89/450mm 40kg, czarny</t>
  </si>
  <si>
    <t>K-StrongMax 18 89/500mm 40kg, czarny</t>
  </si>
  <si>
    <t>K-StrongMax 18 121/450mm 40kg, czarny</t>
  </si>
  <si>
    <t>K-StrongMax 18 121/500mm 40kg, czarny</t>
  </si>
  <si>
    <t>K-StrongMax 18 185/450mm 40kg, czarny</t>
  </si>
  <si>
    <t>K-StrongMax 18 185/500mm 40kg, czarny</t>
  </si>
  <si>
    <t>K-StrongMax 18 249/450mm 40kg, czarny</t>
  </si>
  <si>
    <t>K-StrongMax 18 249/500mm 40kg, czarny</t>
  </si>
  <si>
    <t>K-StrongMax 18 185/450mm 40kg, przeszklone boki, czarny</t>
  </si>
  <si>
    <t>K-StrongMax 18 185/500mm 40kg, przeszklone boki, czarny</t>
  </si>
  <si>
    <t/>
  </si>
  <si>
    <t>K-StrongMax 18 89/300mm 40kg, sötétszürke</t>
  </si>
  <si>
    <t>K-StrongMax 18 89/350mm 40kg, sötétszürke</t>
  </si>
  <si>
    <t>K-StrongMax 18 89/400mm 40kg, sötétszürke</t>
  </si>
  <si>
    <t>K-StrongMax 18 89/450mm 40kg, sötétszürke</t>
  </si>
  <si>
    <t>K-StrongMax 18 89/500mm 40kg, sötétszürke</t>
  </si>
  <si>
    <t>K-StrongMax 18 89/550mm 40kg, sötétszürke</t>
  </si>
  <si>
    <t>K-StrongMax 18 89/600mm 40kg, sötétszürke</t>
  </si>
  <si>
    <t>K-StrongMax 18 89/650mm 40kg, sötétszürke</t>
  </si>
  <si>
    <t>K-StrongMax 18 121/300mm 40kg, sötétszürke</t>
  </si>
  <si>
    <t>K-StrongMax 18 121/350mm 40kg, sötétszürke</t>
  </si>
  <si>
    <t>K-StrongMax 18 121/400mm 40kg, sötétszürke</t>
  </si>
  <si>
    <t>K-StrongMax 18 121/450mm 40kg, sötétszürke</t>
  </si>
  <si>
    <t>K-StrongMax 18 121/500mm 40kg, sötétszürke</t>
  </si>
  <si>
    <t>K-StrongMax 18 121/550mm 40kg, sötétszürke</t>
  </si>
  <si>
    <t>K-StrongMax 18 121/600mm 40kg, sötétszürke</t>
  </si>
  <si>
    <t>K-StrongMax 18 121/650mm 40kg, sötétszürke</t>
  </si>
  <si>
    <t>K-StrongMax 18 185/300mm 40kg, sötétszürke</t>
  </si>
  <si>
    <t>K-StrongMax 18 185/350mm 40kg, sötétszürke</t>
  </si>
  <si>
    <t>K-StrongMax 18 185/400mm 40kg, sötétszürke</t>
  </si>
  <si>
    <t>K-StrongMax 18 185/450mm 40kg, sötétszürke</t>
  </si>
  <si>
    <t>K-StrongMax 18 185/500mm 40kg, sötétszürke</t>
  </si>
  <si>
    <t>K-StrongMax 18 185/550mm 40kg, sötétszürke</t>
  </si>
  <si>
    <t>K-StrongMax 18 185/600mm 40kg, sötétszürke</t>
  </si>
  <si>
    <t>K-StrongMax 18 185/650mm 40kg, sötétszürke</t>
  </si>
  <si>
    <t>K-StrongMax 18 249/450mm 40kg, sötétszürke</t>
  </si>
  <si>
    <t>K-StrongMax 18 249/500mm 40kg, sötétszürke</t>
  </si>
  <si>
    <t>K-StrongMax 18 249/550mm 40kg, sötétszürke</t>
  </si>
  <si>
    <t>K-StrongMax 18 249/600mm 40kg, sötétszürke</t>
  </si>
  <si>
    <t>K-StrongMax 18 249/650mm 40kg, sötétszürke</t>
  </si>
  <si>
    <t>K-StrongMax 18 185/450mm 40kg, üvegezett oldalak, sötétszürke</t>
  </si>
  <si>
    <t>K-StrongMax 18 185/500mm 40kg, üvegezett oldalak, sötétszürke</t>
  </si>
  <si>
    <t>K-StrongMax 18 185/550mm 40kg, üvegezett oldalak, sötétszürke</t>
  </si>
  <si>
    <t>K-StrongMax 18 89/300mm 40kg, fehér</t>
  </si>
  <si>
    <t>K-StrongMax 18 89/350mm 40kg, fehér</t>
  </si>
  <si>
    <t>K-StrongMax 18 89/400mm 40kg, fehér</t>
  </si>
  <si>
    <t>K-StrongMax 18 89/450mm 40kg, fehér</t>
  </si>
  <si>
    <t>K-StrongMax 18 89/500mm 40kg, fehér</t>
  </si>
  <si>
    <t>K-StrongMax 18 89/550mm 40kg, fehér</t>
  </si>
  <si>
    <t>K-StrongMax 18 89/600mm 40kg, fehér</t>
  </si>
  <si>
    <t>K-StrongMax 18 89/650mm 40kg, fehér</t>
  </si>
  <si>
    <t>K-StrongMax 18 121/300mm 40kg, fehér</t>
  </si>
  <si>
    <t>K-StrongMax 18 121/350mm 40kg, fehér</t>
  </si>
  <si>
    <t>K-StrongMax 18 121/400mm 40kg, fehér</t>
  </si>
  <si>
    <t>K-StrongMax 18 121/450mm 40kg, fehér</t>
  </si>
  <si>
    <t>K-StrongMax 18 121/500mm 40kg, fehér</t>
  </si>
  <si>
    <t>K-StrongMax 18 121/550mm 40kg, fehér</t>
  </si>
  <si>
    <t>K-StrongMax 18 121/600mm 40kg, fehér</t>
  </si>
  <si>
    <t>K-StrongMax 18 121/650mm 40kg, fehér</t>
  </si>
  <si>
    <t>K-StrongMax 18 185/300mm 40kg, fehér</t>
  </si>
  <si>
    <t>K-StrongMax 18 185/350mm 40kg, fehér</t>
  </si>
  <si>
    <t>K-StrongMax 18 185/400mm 40kg, fehér</t>
  </si>
  <si>
    <t>K-StrongMax 18 185/450mm 40kg, fehér</t>
  </si>
  <si>
    <t>K-StrongMax 18 185/500mm 40kg, fehér</t>
  </si>
  <si>
    <t>K-StrongMax 18 185/550mm 40kg, fehér</t>
  </si>
  <si>
    <t>K-StrongMax 18 185/600mm 40kg, fehér</t>
  </si>
  <si>
    <t>K-StrongMax 18 185/650mm 40kg, fehér</t>
  </si>
  <si>
    <t>K-StrongMax 18 249/450mm 40kg, fehér</t>
  </si>
  <si>
    <t>K-StrongMax 18 249/500mm 40kg, fehér</t>
  </si>
  <si>
    <t>K-StrongMax 18 249/550mm 40kg, fehér</t>
  </si>
  <si>
    <t>K-StrongMax 18 249/600mm 40kg, fehér</t>
  </si>
  <si>
    <t>K-StrongMax 18 249/650mm 40kg, fehér</t>
  </si>
  <si>
    <t>K-StrongMax 18 185/450mm 40kg, üveg oldalak, fehér</t>
  </si>
  <si>
    <t>K-StrongMax 18 185/500mm 40kg, üvegezett oldalak, fehér</t>
  </si>
  <si>
    <t>K-StrongMax 18 185/550mm 40kg, üvegezett oldalak, fehér</t>
  </si>
  <si>
    <t>K-StrongMax 18 89/450mm 40kg, fekete</t>
  </si>
  <si>
    <t>K-StrongMax 18 89/500mm 40kg, fekete</t>
  </si>
  <si>
    <t>K-StrongMax 18 121/450mm 40kg, fekete</t>
  </si>
  <si>
    <t>K-StrongMax 18 121/500mm 40kg, fekete</t>
  </si>
  <si>
    <t>K-StrongMax 18 185/450mm 40kg, fekete</t>
  </si>
  <si>
    <t>K-StrongMax 18 185/500mm 40kg, fekete</t>
  </si>
  <si>
    <t>K-StrongMax 18 249/450mm 40kg, fekete</t>
  </si>
  <si>
    <t>K-StrongMax 18 249/500mm 40kg, fekete</t>
  </si>
  <si>
    <t>K-StrongMax 18 185/450mm 40kg, üvegezett oldalak, fekete</t>
  </si>
  <si>
    <t>K-StrongMax 18 185/500mm 40kg, üvegezett oldalak, fekete</t>
  </si>
  <si>
    <t>K-StrongMax 18 185/350mm 40kg, black</t>
  </si>
  <si>
    <t>K-StrongMax 18 89/300mm 40kg, dark grey</t>
  </si>
  <si>
    <t>K-StrongMax 18 89/350mm 40kg, dark grey</t>
  </si>
  <si>
    <t>K-StrongMax 18 89/400mm 40kg, dark grey</t>
  </si>
  <si>
    <t>K-StrongMax 18 89/450mm 40kg, dark grey</t>
  </si>
  <si>
    <t>K-StrongMax 18 89/500mm 40kg, dark grey</t>
  </si>
  <si>
    <t>K-StrongMax 18 89/550mm 40kg, dark grey</t>
  </si>
  <si>
    <t>K-StrongMax 18 89/600mm 40kg, dark grey</t>
  </si>
  <si>
    <t>K-StrongMax 18 89/650mm 40kg, dark grey</t>
  </si>
  <si>
    <t>K-StrongMax 18 121/300mm 40kg, dark grey</t>
  </si>
  <si>
    <t>K-StrongMax 18 121/350mm 40kg, dark grey</t>
  </si>
  <si>
    <t>K-StrongMax 18 121/400mm 40kg, dark grey</t>
  </si>
  <si>
    <t>K-StrongMax 18 121/450mm 40kg, dark grey</t>
  </si>
  <si>
    <t>K-StrongMax 18 121/500mm 40kg, dark grey</t>
  </si>
  <si>
    <t>K-StrongMax 18 121/550mm 40kg, dark grey</t>
  </si>
  <si>
    <t>K-StrongMax 18 121/600mm 40kg, dark grey</t>
  </si>
  <si>
    <t>K-StrongMax 18 121/650mm 40kg, dark grey</t>
  </si>
  <si>
    <t>K-StrongMax 18 185/300mm 40kg, dark grey</t>
  </si>
  <si>
    <t>K-StrongMax 18 185/350mm 40kg, dark grey</t>
  </si>
  <si>
    <t>K-StrongMax 18 185/400mm 40kg, dark grey</t>
  </si>
  <si>
    <t>K-StrongMax 18 185/450mm 40kg, dark grey</t>
  </si>
  <si>
    <t>K-StrongMax 18 185/500mm 40kg, dark grey</t>
  </si>
  <si>
    <t>K-StrongMax 18 185/550mm 40kg, dark grey</t>
  </si>
  <si>
    <t>K-StrongMax 18 185/600mm 40kg, dark grey</t>
  </si>
  <si>
    <t>K-StrongMax 18 185/650mm 40kg, dark grey</t>
  </si>
  <si>
    <t>K-StrongMax 18 249/450mm 40kg, dark grey</t>
  </si>
  <si>
    <t>K-StrongMax 18 249/500mm 40kg, dark grey</t>
  </si>
  <si>
    <t>K-StrongMax 18 249/550mm 40kg, dark grey</t>
  </si>
  <si>
    <t>K-StrongMax 18 249/600mm 40kg, dark grey</t>
  </si>
  <si>
    <t>K-StrongMax 18 249/650mm 40kg, dark grey</t>
  </si>
  <si>
    <t>K-StrongMax 18 185/450mm 40kg, glazed sides, dark grey</t>
  </si>
  <si>
    <t>K-StrongMax 18 185/500mm 40kg, glazed sides, dark grey</t>
  </si>
  <si>
    <t>K-StrongMax 18 185/550mm 40kg, glazed sides, dark grey</t>
  </si>
  <si>
    <t>K-StrongMax 18 89/300mm 40kg, white</t>
  </si>
  <si>
    <t>K-StrongMax 18 89/350mm 40kg, white</t>
  </si>
  <si>
    <t>K-StrongMax 18 89/400mm 40kg, white</t>
  </si>
  <si>
    <t>K-StrongMax 18 89/450mm 40kg, white</t>
  </si>
  <si>
    <t>K-StrongMax 18 89/500mm 40kg, white</t>
  </si>
  <si>
    <t>K-StrongMax 18 89/550mm 40kg, white</t>
  </si>
  <si>
    <t>K-StrongMax 18 89/600mm 40kg, white</t>
  </si>
  <si>
    <t>K-StrongMax 18 89/650mm 40kg, white</t>
  </si>
  <si>
    <t>K-StrongMax 18 121/300mm 40kg, white</t>
  </si>
  <si>
    <t>K-StrongMax 18 121/350mm 40kg, white</t>
  </si>
  <si>
    <t>K-StrongMax 18 121/400mm 40kg, white</t>
  </si>
  <si>
    <t>K-StrongMax 18 121/450mm 40kg, white</t>
  </si>
  <si>
    <t>K-StrongMax 18 121/500mm 40kg, white</t>
  </si>
  <si>
    <t>K-StrongMax 18 121/550mm 40kg, white</t>
  </si>
  <si>
    <t>K-StrongMax 18 121/600mm 40kg, white</t>
  </si>
  <si>
    <t>K-StrongMax 18 121/650mm 40kg, white</t>
  </si>
  <si>
    <t>K-StrongMax 18 185/300mm 40kg, white</t>
  </si>
  <si>
    <t>K-StrongMax 18 185/350mm 40kg, white</t>
  </si>
  <si>
    <t>K-StrongMax 18 185/400mm 40kg, white</t>
  </si>
  <si>
    <t>K-StrongMax 18 185/450mm 40kg, white</t>
  </si>
  <si>
    <t>K-StrongMax 18 185/500mm 40kg, white</t>
  </si>
  <si>
    <t>K-StrongMax 18 185/550mm 40kg, white</t>
  </si>
  <si>
    <t>K-StrongMax 18 185/600mm 40kg, white</t>
  </si>
  <si>
    <t>K-StrongMax 18 185/650mm 40kg, white</t>
  </si>
  <si>
    <t>K-StrongMax 18 249/450mm 40kg, white</t>
  </si>
  <si>
    <t>K-StrongMax 18 249/500mm 40kg, white</t>
  </si>
  <si>
    <t>K-StrongMax 18 249/550mm 40kg, white</t>
  </si>
  <si>
    <t>K-StrongMax 18 249/600mm 40kg, white</t>
  </si>
  <si>
    <t>K-StrongMax 18 249/650mm 40kg, white</t>
  </si>
  <si>
    <t>K-StrongMax 18 185/450mm 40kg, glazed sides, white</t>
  </si>
  <si>
    <t>K-StrongMax 18 185/500mm 40kg, glazed sides, white</t>
  </si>
  <si>
    <t>K-StrongMax 18 185/550mm 40kg, glazed sides, white</t>
  </si>
  <si>
    <t>K-StrongMax 18 89/450mm 40kg, black</t>
  </si>
  <si>
    <t>K-StrongMax 18 89/500mm 40kg, black</t>
  </si>
  <si>
    <t>K-StrongMax 18 121/450mm 40kg, black</t>
  </si>
  <si>
    <t>K-StrongMax 18 121/500mm 40kg, black</t>
  </si>
  <si>
    <t>K-StrongMax 18 185/450mm 40kg, black</t>
  </si>
  <si>
    <t>K-StrongMax 18 185/500mm 40kg, black</t>
  </si>
  <si>
    <t>K-StrongMax 18 249/450mm 40kg, black</t>
  </si>
  <si>
    <t>K-StrongMax 18 249/500mm 40kg, black</t>
  </si>
  <si>
    <t>K-StrongMax 18 185/450mm 40kg, glazed sides, black</t>
  </si>
  <si>
    <t>K-StrongMax 18 185/500mm 40kg, glazed sides, black</t>
  </si>
  <si>
    <t>K-StrongMax 18 121/300mm 40kg, black</t>
  </si>
  <si>
    <t>K-StrongMax 18 121/350mm 40kg, black</t>
  </si>
  <si>
    <t>K-StrongMax 18 121/400mm 40kg, black</t>
  </si>
  <si>
    <t>K-StrongMax 18 121/550mm 40kg, black</t>
  </si>
  <si>
    <t>K-StrongMax 18 121/600mm 40kg, black</t>
  </si>
  <si>
    <t>K-StrongMax 18 121/650mm 40kg, black</t>
  </si>
  <si>
    <t>K-StrongMax 18 185/300mm 40kg, black</t>
  </si>
  <si>
    <t>K-StrongMax 18 185/400mm 40kg, black</t>
  </si>
  <si>
    <t>K-StrongMax 18 185/550mm 40kg, black</t>
  </si>
  <si>
    <t>K-StrongMax 18 185/550mm 40kg, glass sides, black</t>
  </si>
  <si>
    <t>K-StrongMax 18 185/600mm 40kg, black</t>
  </si>
  <si>
    <t>K-StrongMax 18 185/650mm 40kg, black</t>
  </si>
  <si>
    <t>K-StrongMax 18 249/550mm 40kg, black</t>
  </si>
  <si>
    <t>K-StrongMax 18 249/600mm 40kg, black</t>
  </si>
  <si>
    <t>K-StrongMax 18 249/650mm 40kg, black</t>
  </si>
  <si>
    <t>K-StrongMax 18 89/300mm 40kg, black</t>
  </si>
  <si>
    <t>K-StrongMax 18 89/350mm 40kg, black</t>
  </si>
  <si>
    <t>K-StrongMax 18 89/400mm 40kg, black</t>
  </si>
  <si>
    <t>K-StrongMax 18 89/550mm 40kg, black</t>
  </si>
  <si>
    <t>K-StrongMax 18 89/600mm 40kg, black</t>
  </si>
  <si>
    <t>K-StrongMax 18 89/650mm 40kg, black</t>
  </si>
  <si>
    <t>Barva</t>
  </si>
  <si>
    <t>černá</t>
  </si>
  <si>
    <t>bílá</t>
  </si>
  <si>
    <t>Biela</t>
  </si>
  <si>
    <t>Čierna</t>
  </si>
  <si>
    <t>Vyberte barvu</t>
  </si>
  <si>
    <t>Vyberte farbu</t>
  </si>
  <si>
    <t>Vyberte výšku bočnice</t>
  </si>
  <si>
    <t>Výška bočnice</t>
  </si>
  <si>
    <t>Tmavo sivá</t>
  </si>
  <si>
    <t>tmavě šedá</t>
  </si>
  <si>
    <t>Sklo</t>
  </si>
  <si>
    <t>Délka</t>
  </si>
  <si>
    <t>Skleněná bočnice ano/ne</t>
  </si>
  <si>
    <t>jedinná zásuvka</t>
  </si>
  <si>
    <t>dolní zásuvka</t>
  </si>
  <si>
    <t>horní zásuvka</t>
  </si>
  <si>
    <t>dopočet MAX výška bočnice</t>
  </si>
  <si>
    <t>střední 2. zásuvka</t>
  </si>
  <si>
    <t>střední 3. zásuvka</t>
  </si>
  <si>
    <t>střední 4. zásuvka</t>
  </si>
  <si>
    <t>MIN</t>
  </si>
  <si>
    <t>MAX</t>
  </si>
  <si>
    <t>sklo</t>
  </si>
  <si>
    <t>JEDNA_VÝŠKA</t>
  </si>
  <si>
    <t>89/121</t>
  </si>
  <si>
    <t>DVĚ_VÝŠKY</t>
  </si>
  <si>
    <t>89/121/185</t>
  </si>
  <si>
    <t>TŘI_VÝŠKY</t>
  </si>
  <si>
    <t>89/121/185/249</t>
  </si>
  <si>
    <t>ČTYŘI_VÝŠKY</t>
  </si>
  <si>
    <t>89</t>
  </si>
  <si>
    <t>Kód kompletu</t>
  </si>
  <si>
    <t>Název kompletu</t>
  </si>
  <si>
    <t>Keyword</t>
  </si>
  <si>
    <t>nelze varianta se sklem</t>
  </si>
  <si>
    <t>Vrtání boku korpusu</t>
  </si>
  <si>
    <t>Rozměry korpusu v mm</t>
  </si>
  <si>
    <t>Vyplňujte vždy sdola</t>
  </si>
  <si>
    <t>Výška otvorů od dna korpusu</t>
  </si>
  <si>
    <t>StrongMax Planner</t>
  </si>
  <si>
    <t>Vždy používejte aktuální verzi formuláře, který je dostupný na našich stánkách.</t>
  </si>
  <si>
    <t>Vždy používajte aktuálnu verziu formuláru, ktorý je dostupný na našich stránkach.</t>
  </si>
  <si>
    <t>Proszę korzystać zawsze z aktualnej wersji formularza umieszczonego na naszych stronach Web.</t>
  </si>
  <si>
    <t>Mindig használja a legfrissebb megrendelő lapot, amelyet megtalál a weboldalunkon.</t>
  </si>
  <si>
    <t>Zákazník</t>
  </si>
  <si>
    <t>Klient</t>
  </si>
  <si>
    <t>Vevő</t>
  </si>
  <si>
    <t>Kontaktní tel.</t>
  </si>
  <si>
    <t>Kontaktný tel.</t>
  </si>
  <si>
    <t>Telefon kontaktowy</t>
  </si>
  <si>
    <t>Kontakt telefon</t>
  </si>
  <si>
    <t>Kontaktní e-mail</t>
  </si>
  <si>
    <t>Kontaktný e -mail</t>
  </si>
  <si>
    <t>Adres e-mail</t>
  </si>
  <si>
    <t>Kontakt e-mail</t>
  </si>
  <si>
    <t>Adresa provozovny</t>
  </si>
  <si>
    <t>Adresa prevádzky</t>
  </si>
  <si>
    <t>Adres oddziału</t>
  </si>
  <si>
    <t>Szállítási cím</t>
  </si>
  <si>
    <t>IČ:</t>
  </si>
  <si>
    <t>ID:</t>
  </si>
  <si>
    <t>Vaše sleva*</t>
  </si>
  <si>
    <t>Vaše zľava*</t>
  </si>
  <si>
    <t>Twój Rabat*</t>
  </si>
  <si>
    <t>Engedmény a profilokra*</t>
  </si>
  <si>
    <t>Číslo objednávky</t>
  </si>
  <si>
    <t>Numer zamówienia</t>
  </si>
  <si>
    <t>A megrendelés száma</t>
  </si>
  <si>
    <t>Konfigurátor pro výpočet čel a vrtání zásuvek StrongMax s 18mm dnem</t>
  </si>
  <si>
    <t>Ceny sú platné od 02.01.2025</t>
  </si>
  <si>
    <t>Ceny jsou platné od 02.01.2025</t>
  </si>
  <si>
    <t>Ceny obowiązują od 02.01.2025</t>
  </si>
  <si>
    <t>Az árak érvényesek 2025.01.02 -től</t>
  </si>
  <si>
    <t>Vyplňte prosím vaše kontaktné údaje:</t>
  </si>
  <si>
    <t>Wpisz proszę dane kontaktowe:</t>
  </si>
  <si>
    <t>Töltse ki kérem az elérhetőségét:</t>
  </si>
  <si>
    <t>Tento formulář slouží pro pomoc při výpočtu výšky čel, vrtání výsuvů a čel. V některých případech výpočty nemusí být přesné a firma Démos Trade neručí za škody způsobené tímto formulářem.</t>
  </si>
  <si>
    <t>Potvrzuji, že rozumím a přijímám výše uvedené podmínky a doporučení.</t>
  </si>
  <si>
    <t>Potvrdzujem, že som porozumel a súhlasím s uvedenými podmienkami a odporúčaniami.</t>
  </si>
  <si>
    <t>Potwierdzam, że rozumiem i akceptuję powyższe warunki i zalecenia.</t>
  </si>
  <si>
    <t>Megerősítem, hogy megértettem és elfogadom a fenti feltételeket és ajánlásokat.</t>
  </si>
  <si>
    <t>Wprowadzenie</t>
  </si>
  <si>
    <t>Bevezetés</t>
  </si>
  <si>
    <t>Dále</t>
  </si>
  <si>
    <t>Ďalšie</t>
  </si>
  <si>
    <t>Kolejne</t>
  </si>
  <si>
    <t>Következő</t>
  </si>
  <si>
    <t>Next</t>
  </si>
  <si>
    <t>Zpět</t>
  </si>
  <si>
    <t>Späť</t>
  </si>
  <si>
    <t>Powrót</t>
  </si>
  <si>
    <t>Vissza</t>
  </si>
  <si>
    <t>Back</t>
  </si>
  <si>
    <t>Uvedené ceny jsou bez DPH!</t>
  </si>
  <si>
    <t>Uvedené ceny sú bez DPH!</t>
  </si>
  <si>
    <t>Podane ceny nie zawierają podatku VAT!</t>
  </si>
  <si>
    <t>Az feltüntetett árak ÁFA nélkül vannak megadva és nem tartalmazzák a szükséges vasalatok árát!</t>
  </si>
  <si>
    <t xml:space="preserve">Při vyplňování formuláře postupujte vždy shora dolů. Provedete li zpětně změnu, překontrolujte zda jsou následující položky správně. </t>
  </si>
  <si>
    <t>Pri vyplňaní formulára postupujte vždy zhora nadol. Ak urobíte spätne zmenu, prekontrolujte či sú nasledovné položky správne.</t>
  </si>
  <si>
    <t>Formularz należy wypełnić od góry do dołu. Po ewentualnej zmianie proszę skontrolować poprawność wprowadzonych danych.</t>
  </si>
  <si>
    <t xml:space="preserve">A nyomtatvány kitöltésénél mindig haladjon fentről lefelé. Amennyiben bármilyen változtatást hajt végre a nyomtatványon, ellenőrizze az összes adatot, hogy rendben vannak-e. </t>
  </si>
  <si>
    <t>objednavky@demos-trade.com</t>
  </si>
  <si>
    <t>zamowienia@demos-trade.com</t>
  </si>
  <si>
    <t>megrendelesek@demos-trade.com</t>
  </si>
  <si>
    <t>Vyplňte prosím Vaše kontaktní údaje:</t>
  </si>
  <si>
    <t>výška zad</t>
  </si>
  <si>
    <t>Přířez zad:</t>
  </si>
  <si>
    <t>Přířez dna:</t>
  </si>
  <si>
    <t>(pro správný výpočet musí být zvolena výška bočnice v tabulce výše)</t>
  </si>
  <si>
    <t>Vrtání čílka první zásuvky</t>
  </si>
  <si>
    <t>Vrtání čílka druhé zásuvky</t>
  </si>
  <si>
    <t>Vrtání čílka třetí zásuvky</t>
  </si>
  <si>
    <t>Vrtání čílka čtvrté zásuvky</t>
  </si>
  <si>
    <t>Vrtání čílka páté zásuvky</t>
  </si>
  <si>
    <t>1.00</t>
  </si>
  <si>
    <t>Verze:</t>
  </si>
  <si>
    <t>Výška čela vč. úchytového profilu</t>
  </si>
  <si>
    <t>Zásuvky s čílkem</t>
  </si>
  <si>
    <t>Dopočet výšky čílek</t>
  </si>
  <si>
    <t>Výška čílka</t>
  </si>
  <si>
    <t>variant zo sklom nie je možlivý</t>
  </si>
  <si>
    <t>nie</t>
  </si>
  <si>
    <t>tak</t>
  </si>
  <si>
    <t>igen</t>
  </si>
  <si>
    <t>nem</t>
  </si>
  <si>
    <t>yes</t>
  </si>
  <si>
    <t>no</t>
  </si>
  <si>
    <t>Pozn: vyplňujte zleva doprava</t>
  </si>
  <si>
    <t>Pozn: pokud uděláte změnu, vyplňte vše znovu, jinak bude formulář pracovat s nesprávnými daty</t>
  </si>
  <si>
    <t>áno</t>
  </si>
  <si>
    <t>Podmínky a doporučení pro správné objednání</t>
  </si>
  <si>
    <t>Podmienky a odporúčania pre správne objednanie</t>
  </si>
  <si>
    <t>Warunki i zalecenia dotyczące prawidłowego zamawiania</t>
  </si>
  <si>
    <t>Helyes megrendelésének feltételei és ajánlásai</t>
  </si>
  <si>
    <t>To make your work easier …</t>
  </si>
  <si>
    <t>A munka egyszerűsítésére …</t>
  </si>
  <si>
    <t>Aby uprościć pracę …</t>
  </si>
  <si>
    <t>Pro zjednoduššení práce …</t>
  </si>
  <si>
    <t>Pre zjednodušenie práce …</t>
  </si>
  <si>
    <t>STRONG označovací šablona pro výsuvy nerezová</t>
  </si>
  <si>
    <t>STRONG označovacia šablona pro výsuvy nerezová</t>
  </si>
  <si>
    <t>STRONG szablon ze stali nierdzewnej do prowadnic</t>
  </si>
  <si>
    <t>STRONG fióksín jelölő sablon nemesacél</t>
  </si>
  <si>
    <t>STRONG template for Strong slides - stainless steel</t>
  </si>
  <si>
    <t>StrongBox označovač čela - sada P+L</t>
  </si>
  <si>
    <t>StrongBox szablon do oznaczenia mocowania frontu - komplet P+L</t>
  </si>
  <si>
    <t>StrongBox fiókfrontjelző J+B</t>
  </si>
  <si>
    <t>StrongBox Mounting template for front - set L+R</t>
  </si>
  <si>
    <t>Szuflada z frontem</t>
  </si>
  <si>
    <t>Szuflady wewnętrzne</t>
  </si>
  <si>
    <t>Wysokość korpusu (A)</t>
  </si>
  <si>
    <t>Szerokość korpusu (B)</t>
  </si>
  <si>
    <t>Grubość dna i wieńca górnego (C)</t>
  </si>
  <si>
    <t>Grubość boków (D)</t>
  </si>
  <si>
    <t>Szczelina na górze (E)</t>
  </si>
  <si>
    <t>Szczelina między frontami (F)</t>
  </si>
  <si>
    <t>Szczelina na dole (G)</t>
  </si>
  <si>
    <t>Szczelina po bokach (H)</t>
  </si>
  <si>
    <t>Ilość szuflad</t>
  </si>
  <si>
    <t>Obliczenie wysokości frontu</t>
  </si>
  <si>
    <t>Czy będzie front z rączką?</t>
  </si>
  <si>
    <t>Wysokość rączki w mm (J)</t>
  </si>
  <si>
    <t>1. szuflada</t>
  </si>
  <si>
    <t>2. szuflady</t>
  </si>
  <si>
    <t>3. szuflady</t>
  </si>
  <si>
    <t>4. szuflady</t>
  </si>
  <si>
    <t>5. szuflad</t>
  </si>
  <si>
    <t>Pozycja prowadnic</t>
  </si>
  <si>
    <t>Wysokość frontu</t>
  </si>
  <si>
    <t>Wymiary korpusu w mm</t>
  </si>
  <si>
    <t>Wybierz kolor</t>
  </si>
  <si>
    <t>Biały</t>
  </si>
  <si>
    <t>Czarny</t>
  </si>
  <si>
    <t>Ciemnoszary</t>
  </si>
  <si>
    <t>Wybierz wysokość prowadnic</t>
  </si>
  <si>
    <t>Nie ma wariantu ze szkłem</t>
  </si>
  <si>
    <t>Wiercenie do boku korpusu</t>
  </si>
  <si>
    <t>Wypełniaj zawsze od dołu</t>
  </si>
  <si>
    <t>Wysokość otworów od dna korpusu</t>
  </si>
  <si>
    <t>Formularz ten służy do pomocy przy obliczaniu wysokości frontów, wierceniu prowadnic i frontów. W niektórych przypadkach obliczenia mogą nie być dokładne i Démos Trade nie ponosi odpowiedzialności za szkody spowodowane przez ten formularz.</t>
  </si>
  <si>
    <t>Konfigurator do obliczania frontu i wiercenia szuflad StrongMax o grubości dna 18 mm</t>
  </si>
  <si>
    <t>Docięcie tyłu:</t>
  </si>
  <si>
    <t>Docięcie dna:</t>
  </si>
  <si>
    <t>(dla prawidłowego obliczenia należy wybrać wysokość ściany bocznej z tabeli powyżej)</t>
  </si>
  <si>
    <t>Wiercenie frontu w pierwszej szufladzie</t>
  </si>
  <si>
    <t>Wiercenie frontu w drugiej szufladzie</t>
  </si>
  <si>
    <t>Wiercenie frontu w trzeciej szufladzie</t>
  </si>
  <si>
    <t>Wiercenie frontu w czwartej szufladzie</t>
  </si>
  <si>
    <t>Wiercenie frontu w piątej szufladzie</t>
  </si>
  <si>
    <t>Wysokość frontu razem z rączką</t>
  </si>
  <si>
    <t>Szklane boki tak/nie</t>
  </si>
  <si>
    <t>Uwaga: wypełniaj od lewej do prawej</t>
  </si>
  <si>
    <t>Uwaga: jeśli dokonasz zmiany, wypełnij wszystko od nowa, w przeciwnym razie formularz będzie z błędami</t>
  </si>
  <si>
    <t>Kod kompletu</t>
  </si>
  <si>
    <t>Nazwa kompletu</t>
  </si>
  <si>
    <t>Maximální doporučená šířka zásuvky je 1,6 násobek délky výsuvu</t>
  </si>
  <si>
    <t>Maximálna doporučná šírka zásuvky je 1,6 násobok dĺžky výsuvu</t>
  </si>
  <si>
    <t>Maksymalna zalecana szerokość szuflady to 1,6-krotność długości prowadnicy</t>
  </si>
  <si>
    <t>A fiók maximális ajánlott szélessége a fióksín hosszának 1,6-szorosa</t>
  </si>
  <si>
    <t>FR</t>
  </si>
  <si>
    <t>DE</t>
  </si>
  <si>
    <t xml:space="preserve">Fiókok frontval </t>
  </si>
  <si>
    <t>Belső fiókok</t>
  </si>
  <si>
    <t>Korpuszmagasság (A)</t>
  </si>
  <si>
    <t>Korpuszszélesség (B)</t>
  </si>
  <si>
    <t>Alsó és felső fal vastagság ©</t>
  </si>
  <si>
    <t>Oldalfal vastagság (D)</t>
  </si>
  <si>
    <t>Rés a felső részen (E)</t>
  </si>
  <si>
    <t>Frontok közötti réstávolság (F)</t>
  </si>
  <si>
    <t>Rés az alsó részen (G)</t>
  </si>
  <si>
    <t>Oldalsó rések (H)</t>
  </si>
  <si>
    <t>Fiókok száma</t>
  </si>
  <si>
    <t>A frontok magasságának számítása</t>
  </si>
  <si>
    <t>Tartalmaz a front fogantyúprofilt?</t>
  </si>
  <si>
    <t>A fogantyúprofil magassága mm-ben (J)</t>
  </si>
  <si>
    <t>1. fiók</t>
  </si>
  <si>
    <t>2. fiók</t>
  </si>
  <si>
    <t>3. fiók</t>
  </si>
  <si>
    <t>4. fiók</t>
  </si>
  <si>
    <t>5. fiók</t>
  </si>
  <si>
    <t>Fióksín pozíció</t>
  </si>
  <si>
    <t>Frontmagasság</t>
  </si>
  <si>
    <t>A korpusz méretei mm-ben</t>
  </si>
  <si>
    <t>Szín kiválasztása</t>
  </si>
  <si>
    <t>fehér</t>
  </si>
  <si>
    <t>fekete</t>
  </si>
  <si>
    <t>sötét szürke</t>
  </si>
  <si>
    <t>Válassza ki az oldalfal magasságát</t>
  </si>
  <si>
    <t>A korpusz oldalának fúrása</t>
  </si>
  <si>
    <t>Az adatokat mindig alulról kezdje kitölteni</t>
  </si>
  <si>
    <t>A furatok magassága a korpusz aljától számítva</t>
  </si>
  <si>
    <t>1.00 - es változat</t>
  </si>
  <si>
    <t>Ez a nyomtatvány a frontmagasságok, a fióksínek és a frontok furatainak kiszámításához nyújt segítséget. Bizonyos esetekben a számítások nem feltétlenül pontosak, és a Démos Trade nem vállal felelősséget az űrlap által okozott károkért.</t>
  </si>
  <si>
    <t>Konfigurátor a StrongMax frontok és furatok kiszámításához 18 mm-es fiókalj esetében</t>
  </si>
  <si>
    <t>Hátsó vágás:</t>
  </si>
  <si>
    <t>Alsó vágás:</t>
  </si>
  <si>
    <t>( a helyes számításhoz a fenti táblázatban található oldalfalmagasságot kell kiválasztani)</t>
  </si>
  <si>
    <t>Az első fiók frontfurata</t>
  </si>
  <si>
    <t>A második fiók frontfurata</t>
  </si>
  <si>
    <t>A harmadik fiók frontfurata</t>
  </si>
  <si>
    <t>A negyedik fiók frontfurata</t>
  </si>
  <si>
    <t>Az ötödik fiók frontfurata</t>
  </si>
  <si>
    <t>A front rész magassága a fogantyúprofillal együtt</t>
  </si>
  <si>
    <t>Üveg oldalfal igen/nem</t>
  </si>
  <si>
    <t>Megjegyzés: balról jobbra haladva töltse ki</t>
  </si>
  <si>
    <t>Megjegyzés: ha változtat, töltsön ki mindent újra, különben az űrlap hibás adatokkal fog dolgozni</t>
  </si>
  <si>
    <t xml:space="preserve">Komplett cikkszáma </t>
  </si>
  <si>
    <t>Komplett elnevezése</t>
  </si>
  <si>
    <t>üveggel nem lehetséges</t>
  </si>
  <si>
    <t>Šírka korpusu (B)</t>
  </si>
  <si>
    <t>Hrúbka dna a stropu (C)</t>
  </si>
  <si>
    <t>Hrúbka bokov (D)</t>
  </si>
  <si>
    <t>Medzera hore (E)</t>
  </si>
  <si>
    <t>Medzera medzi čelami (F)</t>
  </si>
  <si>
    <t>Medzera dole (G)</t>
  </si>
  <si>
    <t>Medzera na stranách (H)</t>
  </si>
  <si>
    <t>Počet zásuviek</t>
  </si>
  <si>
    <t>Dopočet výšky čiel</t>
  </si>
  <si>
    <t>Bude čelo s úchytovým profilom ?</t>
  </si>
  <si>
    <t>Pozícia výsuvu</t>
  </si>
  <si>
    <t>Výška čela</t>
  </si>
  <si>
    <t>Rozmery korpusu v mm</t>
  </si>
  <si>
    <t>Vŕtanie boku korpusu</t>
  </si>
  <si>
    <t>Vyplňujte vždy zdola</t>
  </si>
  <si>
    <t>Výška otvorov od dna korpusu</t>
  </si>
  <si>
    <t>Tento formulár slúži ako pomôcka pri výpočte výšky čela, vŕtania výsuvov a čiel. V niektorých prípadoch nemusia byť výpočty presné a spoločnosť Démos Trade nezodpovedá za škody spôsobené týmto formulárom.</t>
  </si>
  <si>
    <t>Konfigurátor pre výpočet čiel a vŕtania zásuviek StrongMax s 18 mm dnom</t>
  </si>
  <si>
    <t>Prírez chrbta:</t>
  </si>
  <si>
    <t>Prírez dna:</t>
  </si>
  <si>
    <t>(pre správny výpočet je potrebné zvoliť výšku bočnice v tabuľke vyššie)</t>
  </si>
  <si>
    <t>Vŕtanie čela prvej zásuvky</t>
  </si>
  <si>
    <t>Vŕtanie čela druhej zásuvky</t>
  </si>
  <si>
    <t>Vŕtanie čela tretej zásuvky</t>
  </si>
  <si>
    <t>Vŕtanie čela štvrtej zásuvky</t>
  </si>
  <si>
    <t>Vŕtanie čela piatej zásuvky</t>
  </si>
  <si>
    <t>Výška čela vrátane úchytového profilu</t>
  </si>
  <si>
    <t>Sklenená bočnica áno/nie</t>
  </si>
  <si>
    <t>Poznámka: vyplňujte zľava doprava</t>
  </si>
  <si>
    <t>Poznámka: ak vykonáte zmenu, vyplňte všetko znova, inak bude formulár pracovať s nesprávnymi údajmi</t>
  </si>
  <si>
    <t>Názov kompletu</t>
  </si>
  <si>
    <t>Drawers with front face</t>
  </si>
  <si>
    <t>Tiroirs avec façade</t>
  </si>
  <si>
    <t>Inner drawers</t>
  </si>
  <si>
    <t>Tiroir intérieur</t>
  </si>
  <si>
    <t>Introduction</t>
  </si>
  <si>
    <t>Suivant</t>
  </si>
  <si>
    <t>Cabinet height (A)</t>
  </si>
  <si>
    <t>Hauteur du tiroir (A)</t>
  </si>
  <si>
    <t>Cabinet width (B)</t>
  </si>
  <si>
    <t>Profondeur du tiroir (B)</t>
  </si>
  <si>
    <t>Thickness of bottom and ceiling panels (C)</t>
  </si>
  <si>
    <t>Épaisseur du fond et du dos</t>
  </si>
  <si>
    <t>Thickness of sidewalls (D)</t>
  </si>
  <si>
    <t>Épaisseur des côtés du tiroir</t>
  </si>
  <si>
    <t>Gap above (E)</t>
  </si>
  <si>
    <t>Espace en haut (E)</t>
  </si>
  <si>
    <t>Gap between front faces (F)</t>
  </si>
  <si>
    <t>Espace entre les façades (F)</t>
  </si>
  <si>
    <t>Gap below (G)</t>
  </si>
  <si>
    <t>Espace en bas (G)</t>
  </si>
  <si>
    <t>Gap on sides (H)</t>
  </si>
  <si>
    <t>Espace sur les cotes (H)</t>
  </si>
  <si>
    <t>Amount of drawers</t>
  </si>
  <si>
    <t>Nombre de tiroirs</t>
  </si>
  <si>
    <t>Remaining dimension for drawers` height</t>
  </si>
  <si>
    <t>Calcul de la hauteur des facades</t>
  </si>
  <si>
    <t>Front face with a handle profile?</t>
  </si>
  <si>
    <t>Facade avec un profil de poignée ?</t>
  </si>
  <si>
    <t>Height of the handle profile in mm (J)</t>
  </si>
  <si>
    <t>Hauteur du profil de la poignée en mm (J)</t>
  </si>
  <si>
    <t>1st drawer</t>
  </si>
  <si>
    <t>1e tiroir</t>
  </si>
  <si>
    <t>2nd drawer</t>
  </si>
  <si>
    <t>2 ème tiroir</t>
  </si>
  <si>
    <t>3rd drawer</t>
  </si>
  <si>
    <t>3 ème tiroir</t>
  </si>
  <si>
    <t>4th drawer</t>
  </si>
  <si>
    <t>4 ème tiroir</t>
  </si>
  <si>
    <t>5th drawer</t>
  </si>
  <si>
    <t>5 ème tiroir</t>
  </si>
  <si>
    <t>Position of the drawer slide</t>
  </si>
  <si>
    <t>Position de la coulisse</t>
  </si>
  <si>
    <t>Height of the drawer front face</t>
  </si>
  <si>
    <t xml:space="preserve">Hauteur de la façade </t>
  </si>
  <si>
    <t>Dimensions of the cabinet in mm</t>
  </si>
  <si>
    <t>Dimensions du corps en mm</t>
  </si>
  <si>
    <t>Select colour</t>
  </si>
  <si>
    <t>Choisissez la couleur</t>
  </si>
  <si>
    <t>white</t>
  </si>
  <si>
    <t>Blanc</t>
  </si>
  <si>
    <t>black</t>
  </si>
  <si>
    <t>Noir</t>
  </si>
  <si>
    <t>dark grey</t>
  </si>
  <si>
    <t>Gris foncé</t>
  </si>
  <si>
    <t>Select height of the drawer box sidewall</t>
  </si>
  <si>
    <t>Sélectionnez la hauteur de la paroi latérale</t>
  </si>
  <si>
    <t>option with glass is not possible</t>
  </si>
  <si>
    <t>l'option avec verre n'est pas possible</t>
  </si>
  <si>
    <t xml:space="preserve">Drilling of the cabinet side panel </t>
  </si>
  <si>
    <t>Perçage du côté</t>
  </si>
  <si>
    <t>Fill in from bottom up</t>
  </si>
  <si>
    <t>Remplir toujours à partir du bas</t>
  </si>
  <si>
    <t>Hauteur des trous à partir du fond du corps</t>
  </si>
  <si>
    <t>Always use current version of the form available on our web site.</t>
  </si>
  <si>
    <t>Utilisez toujours la version actuelle du formulaire disponible sur notre site web.</t>
  </si>
  <si>
    <t>Please fill in your contact details:</t>
  </si>
  <si>
    <t>Veuillez remplir vos coordonnées :</t>
  </si>
  <si>
    <t>Customer</t>
  </si>
  <si>
    <t>Client</t>
  </si>
  <si>
    <t>Contact number</t>
  </si>
  <si>
    <t>Numéro de contact</t>
  </si>
  <si>
    <t>Contact e-mail</t>
  </si>
  <si>
    <t>Contact par e-mail</t>
  </si>
  <si>
    <t>Address of company unit:</t>
  </si>
  <si>
    <t>Adresse de l'établissement</t>
  </si>
  <si>
    <t>(VAT) ID:</t>
  </si>
  <si>
    <t>VAT:</t>
  </si>
  <si>
    <t>Your discount*</t>
  </si>
  <si>
    <t>Votre remise*</t>
  </si>
  <si>
    <t>Order Number</t>
  </si>
  <si>
    <t>Numéro de commande</t>
  </si>
  <si>
    <t>Prices are valid since 2nd January, 2025</t>
  </si>
  <si>
    <t>Les prix sont valables à partir du 02.01.2025</t>
  </si>
  <si>
    <t>Disclaimer - This form is designed to assist to calculate drawer face heights, calculate drilling for drawer front faces and drilling for drawer slides. In some cases the calculations may not be accurate and company Démos Trade is not responsible for any damage caused when using this form.</t>
  </si>
  <si>
    <t xml:space="preserve">Ce formulaire est utilisé pour aider à calculer les hauteurs des facade, à percer les trous pour les coulisses et les facade. Dans certains cas, les calculs peuvent ne pas être exacts et Démos Trade n'est pas responsable des dommages. </t>
  </si>
  <si>
    <t>I confirm, that I understand and accept the above terms and conditions and recommendations.</t>
  </si>
  <si>
    <t>Je confirme que je comprends et accepte les conditions et recommandations ci-dessus.</t>
  </si>
  <si>
    <t>retour</t>
  </si>
  <si>
    <t>Shown prices are without VAT!</t>
  </si>
  <si>
    <t>Les prix sont hors TVA !</t>
  </si>
  <si>
    <t xml:space="preserve">Lorsque vous remplissez le formulaire, procédez toujours de haut en bas. Si vous effectuez une modification, vérifiez que les éléments suivants sont corrects. </t>
  </si>
  <si>
    <t>export@demos-trade.com</t>
  </si>
  <si>
    <t>Configurator for calculating drower`s  front faces and drower`s drilling  - for drawers StrongMax with 18mm thick drower box bottom panel</t>
  </si>
  <si>
    <t>Configurateur pour le calcul des facade  et le perçage des tiroirs - pour les tiroirs StrongMax avec un fond de tiroir de 18 mm d'épaisseur</t>
  </si>
  <si>
    <t>Dimensions of panel for backs of the drawers</t>
  </si>
  <si>
    <t>Découpe du dos :</t>
  </si>
  <si>
    <t>Dimensions of panel for bottoms of the drawers</t>
  </si>
  <si>
    <t>Découpe du fond:</t>
  </si>
  <si>
    <t>(for correct calculation please define height of the drawer box sidewall in the tab above)</t>
  </si>
  <si>
    <t>(pour un calcul correct, veuillez définir la hauteur de la paroi latérale du caisson de tiroir dans le fichier ci-dessus)</t>
  </si>
  <si>
    <t xml:space="preserve">Drilling of  1st drawer`s front face </t>
  </si>
  <si>
    <t>Perçage de la façade du 1er tiroir</t>
  </si>
  <si>
    <t xml:space="preserve">Drilling of  2nd drawer`s front face </t>
  </si>
  <si>
    <t>Perçage de la façade du 2eme tiroir</t>
  </si>
  <si>
    <t xml:space="preserve">Drilling of  3rd drawer`s front face </t>
  </si>
  <si>
    <t>Perçage de la façade du 3eme tiroir</t>
  </si>
  <si>
    <t xml:space="preserve">Drilling of  4th drawer`s front face </t>
  </si>
  <si>
    <t>Perçage de la façade du 4eme tiroir</t>
  </si>
  <si>
    <t xml:space="preserve">Drilling of  5th drawer`s front face </t>
  </si>
  <si>
    <t>Perçage de la façade du 5eme tiroir</t>
  </si>
  <si>
    <t>Height of the drawer front face including handle bar</t>
  </si>
  <si>
    <t>Hauteur de la façade y compris la barre de poignée</t>
  </si>
  <si>
    <t>oui</t>
  </si>
  <si>
    <t>non</t>
  </si>
  <si>
    <t xml:space="preserve">Glass sidewall yes / no </t>
  </si>
  <si>
    <t>Côtés en verre oui/non</t>
  </si>
  <si>
    <t>Note: fill-in left to right</t>
  </si>
  <si>
    <t>Remarque : remplir de gauche à droite</t>
  </si>
  <si>
    <t xml:space="preserve">Note: If you eventually make any adjustments, fill-in all information again, otherwise the form will use incorect data. </t>
  </si>
  <si>
    <t>Remarque : si vous faites une modification, remplissez tout à nouveau, sinon le formulaire fonctionnera avec des données incorrectes.</t>
  </si>
  <si>
    <t>Code of set</t>
  </si>
  <si>
    <t>Code du kit</t>
  </si>
  <si>
    <t>Name of the set</t>
  </si>
  <si>
    <t>Le nom du kit</t>
  </si>
  <si>
    <t>Schubladen mit Frontseite</t>
  </si>
  <si>
    <t>Innere Schubladen</t>
  </si>
  <si>
    <t>Einführung</t>
  </si>
  <si>
    <t>Weiter</t>
  </si>
  <si>
    <t>Höhe des Schranks (A)</t>
  </si>
  <si>
    <t>Breite des Schranks (B)</t>
  </si>
  <si>
    <t>Dicke der Boden- und Deckenplatten (C)</t>
  </si>
  <si>
    <t>Dicke der Seitenwände (D)</t>
  </si>
  <si>
    <t>Lücke oben (E)</t>
  </si>
  <si>
    <t>Lücke zwischen den Frontseiten (F)</t>
  </si>
  <si>
    <t>Lücke unten (G)</t>
  </si>
  <si>
    <t>Lücke an den Seiten (H)</t>
  </si>
  <si>
    <t>Anzahl der Schubladen</t>
  </si>
  <si>
    <t>Restmaß für die Schubladenhöhe</t>
  </si>
  <si>
    <t>Wird es eine Vorderseite mit einem Griffprofil geben?</t>
  </si>
  <si>
    <t>Höhe des Griffprofils in mm (J)</t>
  </si>
  <si>
    <t>1. Schubladen</t>
  </si>
  <si>
    <t>2. Schubladen</t>
  </si>
  <si>
    <t>3. Schubladen</t>
  </si>
  <si>
    <t>4. Schubladen</t>
  </si>
  <si>
    <t>5. Schubladen</t>
  </si>
  <si>
    <t>Position des Schubladenauszugs</t>
  </si>
  <si>
    <t>Höhe der Frontseite</t>
  </si>
  <si>
    <t>Abmessungen des Schrankes in mm</t>
  </si>
  <si>
    <t>Wählen Sie eine Farbe</t>
  </si>
  <si>
    <t>Weiss</t>
  </si>
  <si>
    <t>Schwarz</t>
  </si>
  <si>
    <t>Dunkelgrau</t>
  </si>
  <si>
    <t>Auswahl der Höhe der Seitenwand</t>
  </si>
  <si>
    <t>Option mit Glas ist nicht möglich</t>
  </si>
  <si>
    <t xml:space="preserve">Bohren der Schrankseitenwand </t>
  </si>
  <si>
    <t>Immer von unten nach oben ausfüllen</t>
  </si>
  <si>
    <t>Verwenden Sie immer die aktuelle Version des Formulars, die Sie an unseren Webseiten finden</t>
  </si>
  <si>
    <t>Bitte geben Sie Ihre Kontaktinformationen an:</t>
  </si>
  <si>
    <t>Kunde</t>
  </si>
  <si>
    <t>Kontaktnummer</t>
  </si>
  <si>
    <t>Kontakt E-Mail</t>
  </si>
  <si>
    <t>Anschrift des Betriebs</t>
  </si>
  <si>
    <t>MwSt.-Nummer</t>
  </si>
  <si>
    <t>Ihr Rabatt*</t>
  </si>
  <si>
    <t>Bestellnummer</t>
  </si>
  <si>
    <t>Die Preise sind gültig ab 02.01.2025</t>
  </si>
  <si>
    <t>Dieses Formular dient als Hilfe bei der Berechnung der Fronthöhen von Schubladen, der Berechnung der Bohrungen für Schubladenfronten und der Bohrungen für Schubladenführungen. In einigen Fällen können die Berechnungen nicht genau sein und die Firma Démos Trade haftet nicht für Schäden, die durch die Verwendung dieses Formulars entstehen.</t>
  </si>
  <si>
    <t>Ich bestätige, dass ich die oben genannten Bedingungen und Empfehlungen verstehe und akzeptiere.</t>
  </si>
  <si>
    <t>Zurück</t>
  </si>
  <si>
    <t>Die angegebenen Preise sind ohne Mehrwertsteuer!</t>
  </si>
  <si>
    <t xml:space="preserve">Bitte füllen Sie das Formular immer von oben nach unten aus. Wenn Sie eventuell Anpassungen vornehmen, überprüfen Sie erneut, ob die nachfolgenden Angaben korrekt sind. </t>
  </si>
  <si>
    <t>Konfigurator für die Berechnung von Frontblenden und Schubladenbohrungen - für StrongMax Schubladen mit 18 mm dicker Schubladenrückwand</t>
  </si>
  <si>
    <t>Ausschneiden für die Rückwände der Schubladen</t>
  </si>
  <si>
    <t>Auschneiden für die Schubladenböden</t>
  </si>
  <si>
    <t>(für eine korrekte Berechnung wählen Sie bitte die Höhe der Seitenwand der Schublade in der Tabelle oben)</t>
  </si>
  <si>
    <t>Bohren der Frontnseite der ersten Schublade</t>
  </si>
  <si>
    <t>Bohren der Frontnseite der zweiten  Schublade</t>
  </si>
  <si>
    <t>Bohren der Frontnseite der dritten  Schublade</t>
  </si>
  <si>
    <t>Bohren der Frontnseite der vierten  Schublade</t>
  </si>
  <si>
    <t>Bohren der Frontnseite der fünften Schublade</t>
  </si>
  <si>
    <t>Höhe der Schubladenfront einschließlich Griff</t>
  </si>
  <si>
    <t>Ja</t>
  </si>
  <si>
    <t>Nein</t>
  </si>
  <si>
    <t>Glas-Seitenwand ja/nein</t>
  </si>
  <si>
    <t>Hinweis: Von links nach rechts ausfüllen</t>
  </si>
  <si>
    <t>Hinweis: Wenn Sie eine Änderung vornehmen, müssen Sie alles noch einmal ausfüllen, sonst funktioniert das Formular mit falschen Daten.</t>
  </si>
  <si>
    <t>Kit-Code</t>
  </si>
  <si>
    <t>Kit-Name</t>
  </si>
  <si>
    <t>RU</t>
  </si>
  <si>
    <t xml:space="preserve">Выдвижные ящики с фасадом </t>
  </si>
  <si>
    <t>Внутренние ящики</t>
  </si>
  <si>
    <t>Введение</t>
  </si>
  <si>
    <t>Далее</t>
  </si>
  <si>
    <t>Высота шкафа/кухонного гарнитура  (А)</t>
  </si>
  <si>
    <t>Ширина шкафа/кухонного гарнитура  (B)</t>
  </si>
  <si>
    <t>Толщина дна и крыши (C)</t>
  </si>
  <si>
    <t>Толщина боковых стенок (D)</t>
  </si>
  <si>
    <t>Зазор сверху (E)</t>
  </si>
  <si>
    <t>Зазор между фасадами ящиков ((F)</t>
  </si>
  <si>
    <t>Зазор снизу (G)</t>
  </si>
  <si>
    <t>Зазор по бокам (H)</t>
  </si>
  <si>
    <t>Количество ящиков</t>
  </si>
  <si>
    <t>Оставшийся размер по высоте ящика</t>
  </si>
  <si>
    <t>Фасад ящика будет с ручкой?</t>
  </si>
  <si>
    <t>Высота профиля ручки в мм  (J)</t>
  </si>
  <si>
    <t xml:space="preserve">1-й ящик </t>
  </si>
  <si>
    <t>2-й ящик</t>
  </si>
  <si>
    <t xml:space="preserve">3-й ящик </t>
  </si>
  <si>
    <t xml:space="preserve">4-й ящик </t>
  </si>
  <si>
    <t xml:space="preserve">5-й ящик </t>
  </si>
  <si>
    <t>Положение направляющих ящика</t>
  </si>
  <si>
    <t>Высота фасада ящика</t>
  </si>
  <si>
    <t>Размеры шкафа/кухонного гарнитура в мм</t>
  </si>
  <si>
    <t>Выберите цвет</t>
  </si>
  <si>
    <t>белый</t>
  </si>
  <si>
    <t>чёрный</t>
  </si>
  <si>
    <t>тёмно-серый</t>
  </si>
  <si>
    <t>Выберите высоту боковины ящика</t>
  </si>
  <si>
    <t>вариант со стеклом невозможен</t>
  </si>
  <si>
    <t>Сверление боковины шкафа/кухонного гарнитура</t>
  </si>
  <si>
    <t>Выполните снизу вверх</t>
  </si>
  <si>
    <t>Высота отверстий со дна шкафа/кухонного гарнитура</t>
  </si>
  <si>
    <t>Всегда используйте актуальную версию формуляра, доступную на нашем веб-сайте.</t>
  </si>
  <si>
    <t>Пожалуйста, введите ваши контактные данные:</t>
  </si>
  <si>
    <t>Клиент</t>
  </si>
  <si>
    <t>Контактный телефон</t>
  </si>
  <si>
    <t>Контактный адрес эл. почты</t>
  </si>
  <si>
    <t>Адрес компании/адрес доставки:</t>
  </si>
  <si>
    <t>ИНН:</t>
  </si>
  <si>
    <t>Ваша скидка*</t>
  </si>
  <si>
    <t>Номер заказа</t>
  </si>
  <si>
    <t>Цены действительны со 2 января 2025 г.</t>
  </si>
  <si>
    <t>Предупреждение - данный формуляр предназначен для расчёта высоты фасадов ящиков, расчёта сверления отверстий для ящиков и направляющих для ящиков. В некоторых случаях расчёты могут быть неточными, и компания Démos Trade не несёт ответственности за любой ущерб, причинённый при использовании этого формуляра.</t>
  </si>
  <si>
    <t>Подтверждаю, что понимаю и принимаю вышеуказанные условия и рекомендации.</t>
  </si>
  <si>
    <t>Назад</t>
  </si>
  <si>
    <t>Цены указаны без НДС!</t>
  </si>
  <si>
    <t xml:space="preserve">Пожалуйста, заполняйте формуляр сверху вниз. Если вы внесёте какие-либо изменения, проверьте правильность последующих частей/товаров ещё раз. </t>
  </si>
  <si>
    <t>Отправьте заполненный формуляр заказа на адрес эл. почты</t>
  </si>
  <si>
    <t>Конфигуратор для расчёта фасадов и сверления - для ящиков StrongMax с дном ящика толщиной 18 мм</t>
  </si>
  <si>
    <t>Размеры плиты для задних стенок ящиков</t>
  </si>
  <si>
    <t>Размеры плиты  для днищ ящиков</t>
  </si>
  <si>
    <t>(для правильного расчёта должна быть указана высотa боковины ящика в таблице выше)</t>
  </si>
  <si>
    <t xml:space="preserve">Сверление фасада 1-го ящика </t>
  </si>
  <si>
    <t>Сверление фасада 2-го ящика</t>
  </si>
  <si>
    <t>Сверление фасада 3-го ящика</t>
  </si>
  <si>
    <t>Сверление фасада 4-го ящика</t>
  </si>
  <si>
    <t>Сверление фасада 5-го ящика</t>
  </si>
  <si>
    <t>Высота фасада ящика, включая профиль ручки</t>
  </si>
  <si>
    <t>да</t>
  </si>
  <si>
    <t>нет</t>
  </si>
  <si>
    <t xml:space="preserve">Стеклянная боковина да/нет </t>
  </si>
  <si>
    <t>Примечание: заполняйте слева направо</t>
  </si>
  <si>
    <t xml:space="preserve">Примечание: Если вы внесёте какие-либо изменения, заполните всю информацию заново, иначе в формуляре могут возникнуть некорректные данные. </t>
  </si>
  <si>
    <t>Код набора/сета</t>
  </si>
  <si>
    <t>Название набора/сета</t>
  </si>
  <si>
    <t>Maximum recommended drawer width is 1,6 times the length of the slide</t>
  </si>
  <si>
    <t>Délka výsuvů</t>
  </si>
  <si>
    <t>Dĺžka výsuvov</t>
  </si>
  <si>
    <t>Długość prowadnicy</t>
  </si>
  <si>
    <t>Fióksín hossz</t>
  </si>
  <si>
    <t>Slides length</t>
  </si>
  <si>
    <t>Longueur des coulisses</t>
  </si>
  <si>
    <t>Auszugslänge</t>
  </si>
  <si>
    <t>Длина направляющих</t>
  </si>
  <si>
    <t>francouzsky</t>
  </si>
  <si>
    <t>německy</t>
  </si>
  <si>
    <t>rusky</t>
  </si>
  <si>
    <t>Zur Vereinfachung der Arbeit …</t>
  </si>
  <si>
    <t>Die maximal empfohlene Schubladenbreite beträgt das 1,6-fache der Schubladenlänge</t>
  </si>
  <si>
    <t>Pour simplifier le travail …</t>
  </si>
  <si>
    <t xml:space="preserve">La largeur maximale recommandée des tiroirs est de 1,6 fois la longueur de l'extension. </t>
  </si>
  <si>
    <t>Для упрощения вашей работы  …</t>
  </si>
  <si>
    <t>Максимальная рекомендуемая ширина выдвижного ящика не должна превышать длину выдвижного ящика более чем в 1,6 раз</t>
  </si>
  <si>
    <t>Conditions et recommandations pour une commande correcte</t>
  </si>
  <si>
    <t>Conditions and recomendations for correct order</t>
  </si>
  <si>
    <t>Bedingungen und Empfehlungen für die korrekte Bestellung</t>
  </si>
  <si>
    <t>Условия и рекомендации по правильному заказу</t>
  </si>
  <si>
    <t xml:space="preserve">Please fill the form always from the top to bottom (unless defined otherwise). If you eventually make any adjustments, check again that the subsequent items are correct. </t>
  </si>
  <si>
    <t xml:space="preserve">Senden Sie das ausgefüllte Bestellformular an die folgende Adresse: </t>
  </si>
  <si>
    <t xml:space="preserve">Envoyez la commande complétée à l'adresse suivante: </t>
  </si>
  <si>
    <t xml:space="preserve">Send the filled order form to the following address: </t>
  </si>
  <si>
    <t xml:space="preserve">A kitöltött megrendelést küldje el a következő címre: </t>
  </si>
  <si>
    <t xml:space="preserve">Wypełnione zamówienie wyślij pod adres: </t>
  </si>
  <si>
    <t xml:space="preserve">Vyplnenú objednávku zašlite na adresu: </t>
  </si>
  <si>
    <t xml:space="preserve">Vyplněnou objednávku zašlete na adresu: </t>
  </si>
  <si>
    <t>Position of holes from the cabinet bottom</t>
  </si>
  <si>
    <t>Position der Öffnungen vom Boden des Schrankes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</si>
</sst>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0.0\ "/>
    <numFmt numFmtId="165" formatCode="0.0"/>
  </numFmts>
  <fonts count="25">
    <font>
      <sz val="11"/>
      <color theme="1"/>
      <name val="Aptos Narrow"/>
      <family val="2"/>
      <charset val="238"/>
      <scheme val="minor"/>
    </font>
    <font>
      <u/>
      <sz val="11"/>
      <color theme="10"/>
      <name val="Aptos Narrow"/>
      <family val="2"/>
      <charset val="238"/>
      <scheme val="minor"/>
    </font>
    <font>
      <sz val="8"/>
      <name val="Aptos Narrow"/>
      <family val="2"/>
      <charset val="238"/>
      <scheme val="minor"/>
    </font>
    <font>
      <sz val="11"/>
      <name val="Calibri"/>
      <family val="2"/>
      <charset val="238"/>
    </font>
    <font>
      <sz val="11"/>
      <name val="Calibri"/>
      <family val="2"/>
      <charset val="238"/>
    </font>
    <font>
      <b/>
      <sz val="11"/>
      <color theme="1"/>
      <name val="Aptos Narrow"/>
      <family val="2"/>
      <scheme val="minor"/>
    </font>
    <font>
      <sz val="9"/>
      <color theme="1"/>
      <name val="Arial"/>
      <family val="2"/>
      <charset val="238"/>
    </font>
    <font>
      <u/>
      <sz val="9.35"/>
      <color theme="10"/>
      <name val="Calibri"/>
      <family val="2"/>
      <charset val="238"/>
    </font>
    <font>
      <b/>
      <sz val="12"/>
      <color theme="0"/>
      <name val="Calibri"/>
      <family val="2"/>
      <charset val="238"/>
    </font>
    <font>
      <sz val="8"/>
      <color theme="1"/>
      <name val="Aptos Narrow"/>
      <family val="2"/>
      <charset val="238"/>
      <scheme val="minor"/>
    </font>
    <font>
      <sz val="11"/>
      <color indexed="8"/>
      <name val="Calibri"/>
      <family val="2"/>
      <charset val="238"/>
    </font>
    <font>
      <sz val="36"/>
      <color theme="1"/>
      <name val="Aptos Narrow"/>
      <family val="2"/>
      <charset val="238"/>
      <scheme val="minor"/>
    </font>
    <font>
      <b/>
      <sz val="11"/>
      <color rgb="FFFF0000"/>
      <name val="Aptos Narrow"/>
      <family val="2"/>
      <charset val="238"/>
      <scheme val="minor"/>
    </font>
    <font>
      <b/>
      <sz val="14"/>
      <color theme="1"/>
      <name val="Aptos Narrow"/>
      <family val="2"/>
      <scheme val="minor"/>
    </font>
    <font>
      <sz val="14"/>
      <color theme="1"/>
      <name val="Aptos Narrow"/>
      <family val="2"/>
      <charset val="238"/>
      <scheme val="minor"/>
    </font>
    <font>
      <b/>
      <sz val="14"/>
      <color theme="0"/>
      <name val="Aptos Narrow"/>
      <family val="2"/>
      <scheme val="minor"/>
    </font>
    <font>
      <b/>
      <sz val="14"/>
      <color theme="0"/>
      <name val="Aptos Narrow"/>
      <family val="2"/>
    </font>
    <font>
      <b/>
      <sz val="14"/>
      <color theme="0"/>
      <name val="Arial Narrow"/>
      <family val="2"/>
      <charset val="238"/>
    </font>
    <font>
      <sz val="16"/>
      <color theme="1"/>
      <name val="Aptos Narrow"/>
      <family val="2"/>
      <charset val="238"/>
      <scheme val="minor"/>
    </font>
    <font>
      <sz val="11"/>
      <name val="Aptos Narrow"/>
      <family val="2"/>
      <charset val="238"/>
      <scheme val="minor"/>
    </font>
    <font>
      <b/>
      <i/>
      <sz val="11"/>
      <color theme="1"/>
      <name val="Aptos Narrow"/>
      <family val="2"/>
      <scheme val="minor"/>
    </font>
    <font>
      <b/>
      <sz val="16"/>
      <color theme="1"/>
      <name val="Aptos Narrow"/>
      <family val="2"/>
      <scheme val="minor"/>
    </font>
    <font>
      <sz val="11"/>
      <color rgb="FF242424"/>
      <name val="Aptos Narrow"/>
      <charset val="1"/>
    </font>
    <font>
      <sz val="11"/>
      <color rgb="FF000000"/>
      <name val="Montserrat-Regular"/>
      <family val="2"/>
      <charset val="1"/>
    </font>
    <font>
      <sz val="11"/>
      <color rgb="FF404040"/>
      <name val="Aptos Narrow"/>
      <scheme val="minor"/>
    </font>
  </fonts>
  <fills count="6">
    <fill>
      <patternFill patternType="none"/>
    </fill>
    <fill>
      <patternFill patternType="gray125"/>
    </fill>
    <fill>
      <patternFill patternType="solid">
        <fgColor rgb="FFFFCC99"/>
        <bgColor indexed="64"/>
      </patternFill>
    </fill>
    <fill>
      <patternFill patternType="solid">
        <fgColor theme="0"/>
        <bgColor indexed="64"/>
      </patternFill>
    </fill>
    <fill>
      <patternFill patternType="solid">
        <fgColor rgb="FF004984"/>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xf numFmtId="0" fontId="3" fillId="0" borderId="0"/>
    <xf numFmtId="0" fontId="4" fillId="0" borderId="0"/>
    <xf numFmtId="0" fontId="6" fillId="0" borderId="0"/>
    <xf numFmtId="0" fontId="7" fillId="0" borderId="0" applyNumberFormat="0" applyFill="0" applyBorder="0" applyAlignment="0" applyProtection="0">
      <alignment vertical="top"/>
      <protection locked="0"/>
    </xf>
    <xf numFmtId="9" fontId="10" fillId="0" borderId="0" applyFont="0" applyFill="0" applyBorder="0" applyAlignment="0" applyProtection="0"/>
    <xf numFmtId="0" fontId="1" fillId="0" borderId="0" applyNumberFormat="0" applyFill="0" applyBorder="0" applyAlignment="0" applyProtection="0"/>
  </cellStyleXfs>
  <cellXfs count="125">
    <xf numFmtId="0" fontId="0" fillId="0" borderId="0" xfId="0"/>
    <xf numFmtId="0" fontId="0" fillId="0" borderId="0" xfId="0" applyAlignment="1" applyProtection="1">
      <alignment vertical="center"/>
      <protection hidden="1"/>
    </xf>
    <xf numFmtId="1" fontId="0" fillId="0" borderId="0" xfId="0" applyNumberFormat="1"/>
    <xf numFmtId="49" fontId="3" fillId="0" borderId="0" xfId="2" applyNumberFormat="1"/>
    <xf numFmtId="49" fontId="4" fillId="0" borderId="0" xfId="2" applyNumberFormat="1" applyFont="1"/>
    <xf numFmtId="0" fontId="0" fillId="0" borderId="0" xfId="0" applyAlignment="1">
      <alignment horizontal="center"/>
    </xf>
    <xf numFmtId="0" fontId="5" fillId="0" borderId="0" xfId="0" applyFont="1"/>
    <xf numFmtId="0" fontId="0" fillId="0" borderId="0" xfId="0" applyProtection="1">
      <protection hidden="1"/>
    </xf>
    <xf numFmtId="0" fontId="0" fillId="0" borderId="0" xfId="0" applyAlignment="1" applyProtection="1">
      <alignment horizontal="right"/>
      <protection hidden="1"/>
    </xf>
    <xf numFmtId="0" fontId="0" fillId="0" borderId="0" xfId="0" applyAlignment="1">
      <alignment wrapText="1"/>
    </xf>
    <xf numFmtId="0" fontId="0" fillId="0" borderId="0" xfId="0" applyAlignment="1">
      <alignment vertical="center" wrapText="1"/>
    </xf>
    <xf numFmtId="0" fontId="6" fillId="3" borderId="0" xfId="4" applyFill="1" applyProtection="1">
      <protection hidden="1"/>
    </xf>
    <xf numFmtId="0" fontId="6" fillId="4" borderId="0" xfId="4" applyFill="1" applyProtection="1">
      <protection hidden="1"/>
    </xf>
    <xf numFmtId="0" fontId="0" fillId="4" borderId="0" xfId="0" applyFill="1" applyProtection="1">
      <protection hidden="1"/>
    </xf>
    <xf numFmtId="0" fontId="0" fillId="0" borderId="0" xfId="0" applyAlignment="1">
      <alignment horizontal="left"/>
    </xf>
    <xf numFmtId="0" fontId="0" fillId="0" borderId="0" xfId="0" applyAlignment="1" applyProtection="1">
      <alignment vertical="top"/>
      <protection hidden="1"/>
    </xf>
    <xf numFmtId="0" fontId="0" fillId="0" borderId="0" xfId="0" applyProtection="1">
      <protection locked="0"/>
    </xf>
    <xf numFmtId="0" fontId="7" fillId="0" borderId="0" xfId="5" applyBorder="1" applyAlignment="1" applyProtection="1">
      <alignment horizontal="left"/>
    </xf>
    <xf numFmtId="0" fontId="7" fillId="0" borderId="0" xfId="5" applyBorder="1" applyAlignment="1" applyProtection="1"/>
    <xf numFmtId="0" fontId="0" fillId="0" borderId="0" xfId="0" applyAlignment="1" applyProtection="1">
      <alignment vertical="top" wrapText="1"/>
      <protection hidden="1"/>
    </xf>
    <xf numFmtId="0" fontId="13" fillId="0" borderId="0" xfId="0" applyFont="1" applyAlignment="1" applyProtection="1">
      <alignment vertical="center"/>
      <protection hidden="1"/>
    </xf>
    <xf numFmtId="0" fontId="12" fillId="0" borderId="0" xfId="0" applyFont="1" applyAlignment="1" applyProtection="1">
      <alignment wrapText="1"/>
      <protection hidden="1"/>
    </xf>
    <xf numFmtId="0" fontId="0" fillId="0" borderId="0" xfId="0" applyAlignment="1" applyProtection="1">
      <alignment wrapText="1"/>
      <protection hidden="1"/>
    </xf>
    <xf numFmtId="0" fontId="14" fillId="0" borderId="0" xfId="0" applyFont="1"/>
    <xf numFmtId="165" fontId="0" fillId="0" borderId="0" xfId="0" applyNumberFormat="1"/>
    <xf numFmtId="0" fontId="0" fillId="0" borderId="0" xfId="0" applyAlignment="1">
      <alignment horizontal="right" vertical="center"/>
    </xf>
    <xf numFmtId="0" fontId="0" fillId="0" borderId="0" xfId="0" applyAlignment="1">
      <alignment horizontal="right" wrapText="1"/>
    </xf>
    <xf numFmtId="0" fontId="0" fillId="0" borderId="0" xfId="0" applyAlignment="1">
      <alignment horizontal="right"/>
    </xf>
    <xf numFmtId="0" fontId="0" fillId="0" borderId="0" xfId="0" applyAlignment="1">
      <alignment horizontal="right" vertical="center" wrapText="1"/>
    </xf>
    <xf numFmtId="1" fontId="0" fillId="0" borderId="0" xfId="0" applyNumberFormat="1" applyAlignment="1">
      <alignment horizontal="center"/>
    </xf>
    <xf numFmtId="0" fontId="8" fillId="0" borderId="0" xfId="5" applyFont="1" applyFill="1" applyBorder="1" applyAlignment="1" applyProtection="1">
      <alignment vertical="center"/>
      <protection locked="0" hidden="1"/>
    </xf>
    <xf numFmtId="0" fontId="8" fillId="0" borderId="6" xfId="5" applyFont="1" applyFill="1" applyBorder="1" applyAlignment="1" applyProtection="1">
      <alignment vertical="center"/>
      <protection locked="0" hidden="1"/>
    </xf>
    <xf numFmtId="0" fontId="11" fillId="0" borderId="0" xfId="0" applyFont="1"/>
    <xf numFmtId="0" fontId="9" fillId="0" borderId="0" xfId="0" applyFont="1" applyAlignment="1" applyProtection="1">
      <alignment wrapText="1"/>
      <protection hidden="1"/>
    </xf>
    <xf numFmtId="0" fontId="6" fillId="4" borderId="0" xfId="4" applyFill="1"/>
    <xf numFmtId="0" fontId="0" fillId="0" borderId="0" xfId="0" applyAlignment="1" applyProtection="1">
      <alignment horizontal="left"/>
      <protection locked="0"/>
    </xf>
    <xf numFmtId="0" fontId="3" fillId="0" borderId="0" xfId="2"/>
    <xf numFmtId="0" fontId="0" fillId="0" borderId="10" xfId="0" applyBorder="1"/>
    <xf numFmtId="0" fontId="18" fillId="0" borderId="0" xfId="0" applyFont="1" applyProtection="1">
      <protection hidden="1"/>
    </xf>
    <xf numFmtId="0" fontId="0" fillId="0" borderId="0" xfId="0" applyAlignment="1" applyProtection="1">
      <alignment vertical="center" wrapText="1"/>
      <protection hidden="1"/>
    </xf>
    <xf numFmtId="0" fontId="0" fillId="0" borderId="0" xfId="0" applyAlignment="1" applyProtection="1">
      <alignment horizontal="left"/>
      <protection hidden="1"/>
    </xf>
    <xf numFmtId="0" fontId="0" fillId="0" borderId="0" xfId="0" applyAlignment="1" applyProtection="1">
      <alignment horizontal="left" indent="4"/>
      <protection hidden="1"/>
    </xf>
    <xf numFmtId="0" fontId="19" fillId="0" borderId="0" xfId="0" applyFont="1"/>
    <xf numFmtId="0" fontId="0" fillId="0" borderId="11" xfId="0" applyBorder="1" applyAlignment="1" applyProtection="1">
      <alignment vertical="center" wrapText="1"/>
      <protection hidden="1"/>
    </xf>
    <xf numFmtId="0" fontId="13" fillId="0" borderId="0" xfId="0" applyFont="1"/>
    <xf numFmtId="0" fontId="14" fillId="0" borderId="0" xfId="0" applyFont="1" applyProtection="1">
      <protection hidden="1"/>
    </xf>
    <xf numFmtId="1" fontId="14" fillId="0" borderId="0" xfId="0" applyNumberFormat="1" applyFont="1" applyAlignment="1" applyProtection="1">
      <alignment vertical="top"/>
      <protection hidden="1"/>
    </xf>
    <xf numFmtId="0" fontId="14" fillId="0" borderId="0" xfId="0" applyFont="1" applyAlignment="1">
      <alignment vertical="top"/>
    </xf>
    <xf numFmtId="0" fontId="14" fillId="0" borderId="0" xfId="0" applyFont="1" applyAlignment="1" applyProtection="1">
      <alignment vertical="center"/>
      <protection hidden="1"/>
    </xf>
    <xf numFmtId="0" fontId="14" fillId="0" borderId="0" xfId="0" applyFont="1" applyAlignment="1">
      <alignment vertical="center"/>
    </xf>
    <xf numFmtId="1" fontId="5" fillId="0" borderId="0" xfId="0" applyNumberFormat="1" applyFont="1" applyProtection="1">
      <protection hidden="1"/>
    </xf>
    <xf numFmtId="0" fontId="5" fillId="0" borderId="0" xfId="0" applyFont="1" applyProtection="1">
      <protection hidden="1"/>
    </xf>
    <xf numFmtId="1" fontId="5" fillId="0" borderId="0" xfId="0" applyNumberFormat="1" applyFont="1" applyAlignment="1" applyProtection="1">
      <alignment vertical="top"/>
      <protection hidden="1"/>
    </xf>
    <xf numFmtId="1" fontId="5" fillId="0" borderId="0" xfId="0" applyNumberFormat="1" applyFont="1" applyAlignment="1" applyProtection="1">
      <alignment vertical="center"/>
      <protection hidden="1"/>
    </xf>
    <xf numFmtId="0" fontId="5" fillId="0" borderId="0" xfId="0" applyFont="1" applyAlignment="1" applyProtection="1">
      <alignment horizontal="right"/>
      <protection hidden="1"/>
    </xf>
    <xf numFmtId="1" fontId="5" fillId="0" borderId="0" xfId="0" applyNumberFormat="1" applyFont="1" applyAlignment="1">
      <alignment vertical="center" textRotation="90"/>
    </xf>
    <xf numFmtId="0" fontId="5" fillId="0" borderId="0" xfId="0" applyFont="1" applyAlignment="1">
      <alignment horizontal="right" vertical="center" textRotation="90"/>
    </xf>
    <xf numFmtId="0" fontId="5" fillId="0" borderId="0" xfId="0" applyFont="1" applyAlignment="1">
      <alignment horizontal="right" vertical="top" textRotation="90"/>
    </xf>
    <xf numFmtId="0" fontId="5" fillId="0" borderId="0" xfId="0" applyFont="1" applyAlignment="1">
      <alignment vertical="center" textRotation="90"/>
    </xf>
    <xf numFmtId="1" fontId="5" fillId="0" borderId="0" xfId="0" applyNumberFormat="1" applyFont="1" applyAlignment="1">
      <alignment textRotation="90"/>
    </xf>
    <xf numFmtId="0" fontId="5" fillId="0" borderId="0" xfId="0" applyFont="1" applyAlignment="1">
      <alignment vertical="top" textRotation="90"/>
    </xf>
    <xf numFmtId="0" fontId="5" fillId="0" borderId="0" xfId="0" applyFont="1" applyAlignment="1">
      <alignment textRotation="90"/>
    </xf>
    <xf numFmtId="165" fontId="5" fillId="0" borderId="0" xfId="0" applyNumberFormat="1" applyFont="1" applyAlignment="1">
      <alignment horizontal="left" indent="2"/>
    </xf>
    <xf numFmtId="0" fontId="5" fillId="0" borderId="0" xfId="0" applyFont="1" applyAlignment="1">
      <alignment horizontal="right" textRotation="90"/>
    </xf>
    <xf numFmtId="0" fontId="5" fillId="0" borderId="0" xfId="0" applyFont="1" applyAlignment="1">
      <alignment horizontal="left" textRotation="90"/>
    </xf>
    <xf numFmtId="0" fontId="5" fillId="0" borderId="0" xfId="0" applyFont="1" applyAlignment="1">
      <alignment horizontal="left" indent="2"/>
    </xf>
    <xf numFmtId="0" fontId="5" fillId="0" borderId="0" xfId="0" applyFont="1" applyAlignment="1">
      <alignment horizontal="left" indent="4"/>
    </xf>
    <xf numFmtId="0" fontId="13" fillId="0" borderId="0" xfId="0" applyFont="1" applyProtection="1">
      <protection hidden="1"/>
    </xf>
    <xf numFmtId="0" fontId="5" fillId="0" borderId="0" xfId="0" applyFont="1" applyAlignment="1" applyProtection="1">
      <alignment vertical="center"/>
      <protection hidden="1"/>
    </xf>
    <xf numFmtId="1" fontId="5" fillId="2" borderId="1" xfId="0" applyNumberFormat="1" applyFont="1" applyFill="1" applyBorder="1" applyAlignment="1" applyProtection="1">
      <alignment horizontal="center" vertical="center"/>
      <protection locked="0"/>
    </xf>
    <xf numFmtId="165" fontId="5" fillId="2" borderId="1" xfId="0" applyNumberFormat="1" applyFont="1" applyFill="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hidden="1"/>
    </xf>
    <xf numFmtId="1"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5" fillId="0" borderId="1" xfId="0" applyFont="1" applyBorder="1" applyAlignment="1">
      <alignment horizontal="center"/>
    </xf>
    <xf numFmtId="0" fontId="21" fillId="0" borderId="0" xfId="0" applyFont="1"/>
    <xf numFmtId="0" fontId="1" fillId="0" borderId="0" xfId="7" applyAlignment="1">
      <alignment wrapText="1"/>
    </xf>
    <xf numFmtId="0" fontId="1" fillId="0" borderId="0" xfId="7"/>
    <xf numFmtId="0" fontId="22" fillId="0" borderId="0" xfId="0" applyFont="1"/>
    <xf numFmtId="0" fontId="23" fillId="0" borderId="0" xfId="0" applyFont="1"/>
    <xf numFmtId="0" fontId="24" fillId="0" borderId="0" xfId="0" applyFont="1"/>
    <xf numFmtId="0" fontId="15" fillId="4" borderId="0" xfId="1" applyFont="1" applyFill="1" applyBorder="1" applyAlignment="1" applyProtection="1">
      <alignment horizontal="center" vertical="center"/>
      <protection locked="0" hidden="1"/>
    </xf>
    <xf numFmtId="0" fontId="0" fillId="0" borderId="0" xfId="0" applyAlignment="1">
      <alignment horizontal="left" wrapText="1"/>
    </xf>
    <xf numFmtId="0" fontId="16" fillId="4" borderId="6" xfId="1" applyFont="1" applyFill="1" applyBorder="1" applyAlignment="1" applyProtection="1">
      <alignment horizontal="center" vertical="center"/>
      <protection locked="0" hidden="1"/>
    </xf>
    <xf numFmtId="0" fontId="16" fillId="4" borderId="0" xfId="1" applyFont="1" applyFill="1" applyBorder="1" applyAlignment="1" applyProtection="1">
      <alignment horizontal="center" vertical="center"/>
      <protection locked="0" hidden="1"/>
    </xf>
    <xf numFmtId="0" fontId="15" fillId="4" borderId="6" xfId="1" applyFont="1" applyFill="1" applyBorder="1" applyAlignment="1" applyProtection="1">
      <alignment horizontal="center" vertical="center"/>
      <protection locked="0" hidden="1"/>
    </xf>
    <xf numFmtId="0" fontId="0" fillId="5" borderId="7" xfId="0"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0" fillId="5" borderId="8" xfId="0"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12" fillId="0" borderId="0" xfId="0" applyFont="1" applyAlignment="1" applyProtection="1">
      <alignment horizontal="left" wrapText="1"/>
      <protection hidden="1"/>
    </xf>
    <xf numFmtId="0" fontId="9" fillId="0" borderId="0" xfId="0" applyFont="1" applyAlignment="1" applyProtection="1">
      <alignment horizontal="left" wrapText="1"/>
      <protection hidden="1"/>
    </xf>
    <xf numFmtId="0" fontId="16" fillId="4" borderId="6" xfId="1"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6" fillId="4" borderId="0" xfId="1"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7" fillId="4" borderId="6" xfId="1" applyFont="1" applyFill="1" applyBorder="1" applyAlignment="1" applyProtection="1">
      <alignment horizontal="center" vertical="center"/>
      <protection locked="0" hidden="1"/>
    </xf>
    <xf numFmtId="0" fontId="17" fillId="4" borderId="0" xfId="1" applyFont="1" applyFill="1" applyBorder="1" applyAlignment="1" applyProtection="1">
      <alignment horizontal="center" vertical="center"/>
      <protection locked="0" hidden="1"/>
    </xf>
    <xf numFmtId="0" fontId="5" fillId="0" borderId="0" xfId="0" applyFont="1" applyAlignment="1">
      <alignment horizontal="left" textRotation="90"/>
    </xf>
    <xf numFmtId="1" fontId="5" fillId="0" borderId="0" xfId="0" applyNumberFormat="1" applyFont="1" applyAlignment="1">
      <alignment horizontal="right" vertical="center" textRotation="90"/>
    </xf>
    <xf numFmtId="0" fontId="5"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0" xfId="0" applyFont="1" applyAlignment="1">
      <alignment horizontal="center"/>
    </xf>
    <xf numFmtId="1" fontId="5" fillId="0" borderId="0" xfId="0" applyNumberFormat="1" applyFont="1" applyAlignment="1">
      <alignment horizontal="right" textRotation="90"/>
    </xf>
    <xf numFmtId="1" fontId="5" fillId="0" borderId="0" xfId="0" applyNumberFormat="1" applyFont="1" applyAlignment="1">
      <alignment horizontal="left" textRotation="90"/>
    </xf>
    <xf numFmtId="0" fontId="5" fillId="0" borderId="0" xfId="0" applyFont="1" applyAlignment="1">
      <alignment horizontal="right" vertical="center" textRotation="90"/>
    </xf>
    <xf numFmtId="165" fontId="5" fillId="0" borderId="0" xfId="0" applyNumberFormat="1" applyFont="1" applyAlignment="1">
      <alignment horizontal="right" vertical="center" textRotation="90"/>
    </xf>
    <xf numFmtId="0" fontId="5" fillId="0" borderId="2"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15" fillId="4" borderId="0" xfId="1" applyFont="1" applyFill="1" applyAlignment="1" applyProtection="1">
      <alignment horizontal="center" vertical="center"/>
      <protection locked="0" hidden="1"/>
    </xf>
    <xf numFmtId="0" fontId="5" fillId="0" borderId="1" xfId="0" applyFont="1" applyBorder="1" applyAlignment="1">
      <alignment horizontal="left"/>
    </xf>
    <xf numFmtId="0" fontId="0" fillId="0" borderId="0" xfId="0" applyAlignment="1">
      <alignment horizontal="center"/>
    </xf>
    <xf numFmtId="0" fontId="5" fillId="0" borderId="5" xfId="0" applyFont="1" applyBorder="1" applyAlignment="1">
      <alignment horizontal="left" vertical="center" textRotation="90" wrapText="1"/>
    </xf>
    <xf numFmtId="0" fontId="5" fillId="0" borderId="1" xfId="0" applyFont="1" applyBorder="1" applyAlignment="1" applyProtection="1">
      <alignment horizontal="center" vertical="center"/>
      <protection hidden="1"/>
    </xf>
    <xf numFmtId="165" fontId="5" fillId="0" borderId="0" xfId="0" applyNumberFormat="1" applyFont="1" applyAlignment="1">
      <alignment horizontal="right" vertical="top" textRotation="9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0" fillId="0" borderId="0" xfId="0" applyAlignment="1" applyProtection="1">
      <alignment horizontal="left" vertical="top"/>
      <protection hidden="1"/>
    </xf>
    <xf numFmtId="0" fontId="0" fillId="0" borderId="0" xfId="0" applyAlignment="1" applyProtection="1">
      <alignment horizontal="left" vertical="top" wrapText="1"/>
      <protection hidden="1"/>
    </xf>
    <xf numFmtId="0" fontId="13" fillId="0" borderId="0" xfId="0" applyFont="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 fillId="0" borderId="0" xfId="1" applyAlignment="1">
      <alignment wrapText="1"/>
    </xf>
    <xf numFmtId="0" fontId="13" fillId="0" borderId="0" xfId="0" applyFont="1" applyAlignment="1">
      <alignment horizontal="center" vertical="center" textRotation="90" wrapText="1"/>
    </xf>
    <xf numFmtId="0" fontId="20" fillId="0" borderId="2"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hidden="1"/>
    </xf>
  </cellXfs>
  <cellStyles count="8">
    <cellStyle name="Hyperlink" xfId="7" xr:uid="{7B71B010-2350-4E85-B7DA-23F6792918A3}"/>
    <cellStyle name="Hypertextový odkaz" xfId="1" builtinId="8"/>
    <cellStyle name="Hypertextový odkaz 2" xfId="5" xr:uid="{F65F0447-E529-4DFB-B4DA-FC360EF204AD}"/>
    <cellStyle name="Normální" xfId="0" builtinId="0"/>
    <cellStyle name="Normální 13" xfId="4" xr:uid="{6ED1C393-B11A-4E09-B945-6763D58C9382}"/>
    <cellStyle name="Normální 2" xfId="2" xr:uid="{4B03FA96-B597-48EB-A05E-BC761B211864}"/>
    <cellStyle name="Normální 2 2" xfId="3" xr:uid="{686F977F-2BC5-4D60-8070-CCAF2C4BEEBF}"/>
    <cellStyle name="Procenta 2" xfId="6" xr:uid="{5E0F9B75-5137-4761-A28D-C03F6A9A03BD}"/>
  </cellStyles>
  <dxfs count="8">
    <dxf>
      <fill>
        <patternFill>
          <bgColor rgb="FF92D050"/>
        </patternFill>
      </fill>
    </dxf>
    <dxf>
      <fill>
        <patternFill>
          <fgColor theme="0"/>
          <bgColor theme="0"/>
        </patternFill>
      </fill>
    </dxf>
    <dxf>
      <fill>
        <patternFill>
          <bgColor rgb="FFFFCC99"/>
        </patternFill>
      </fill>
    </dxf>
    <dxf>
      <fill>
        <patternFill>
          <bgColor rgb="FFFFCC99"/>
        </patternFill>
      </fill>
    </dxf>
    <dxf>
      <fill>
        <patternFill>
          <bgColor rgb="FFFFCC99"/>
        </patternFill>
      </fill>
    </dxf>
    <dxf>
      <fill>
        <patternFill>
          <bgColor rgb="FFFFCC99"/>
        </patternFill>
      </fill>
    </dxf>
    <dxf>
      <font>
        <color theme="0"/>
      </font>
      <fill>
        <patternFill>
          <bgColor theme="0"/>
        </patternFill>
      </fill>
    </dxf>
    <dxf>
      <fill>
        <patternFill>
          <fgColor theme="0"/>
          <bgColor theme="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fmlaLink="Překlady!$D$1" lockText="1"/>
</file>

<file path=xl/ctrlProps/ctrlProp10.xml><?xml version="1.0" encoding="utf-8"?>
<formControlPr xmlns="http://schemas.microsoft.com/office/spreadsheetml/2009/9/main" objectType="CheckBox" fmlaLink="#REF!"/>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REF!"/>
</file>

<file path=xl/drawings/_rels/drawing1.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jpe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4.png"/><Relationship Id="rId7" Type="http://schemas.openxmlformats.org/officeDocument/2006/relationships/image" Target="../media/image20.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9.png"/><Relationship Id="rId5" Type="http://schemas.openxmlformats.org/officeDocument/2006/relationships/image" Target="../media/image16.png"/><Relationship Id="rId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5.pn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3" Type="http://schemas.openxmlformats.org/officeDocument/2006/relationships/hyperlink" Target="#&#269;elo!A1"/><Relationship Id="rId2" Type="http://schemas.openxmlformats.org/officeDocument/2006/relationships/image" Target="../media/image17.png"/><Relationship Id="rId1" Type="http://schemas.openxmlformats.org/officeDocument/2006/relationships/image" Target="../media/image22.png"/><Relationship Id="rId5" Type="http://schemas.openxmlformats.org/officeDocument/2006/relationships/image" Target="../media/image27.jpeg"/><Relationship Id="rId4" Type="http://schemas.openxmlformats.org/officeDocument/2006/relationships/image" Target="../media/image26.png"/></Relationships>
</file>

<file path=xl/drawings/_rels/drawing5.xml.rels><?xml version="1.0" encoding="UTF-8" standalone="yes"?>
<Relationships xmlns="http://schemas.openxmlformats.org/package/2006/relationships"><Relationship Id="rId8" Type="http://schemas.openxmlformats.org/officeDocument/2006/relationships/image" Target="../media/image34.emf"/><Relationship Id="rId3" Type="http://schemas.openxmlformats.org/officeDocument/2006/relationships/image" Target="../media/image29.emf"/><Relationship Id="rId7" Type="http://schemas.openxmlformats.org/officeDocument/2006/relationships/image" Target="../media/image33.emf"/><Relationship Id="rId2" Type="http://schemas.openxmlformats.org/officeDocument/2006/relationships/image" Target="../media/image28.png"/><Relationship Id="rId1" Type="http://schemas.openxmlformats.org/officeDocument/2006/relationships/image" Target="../media/image17.png"/><Relationship Id="rId6" Type="http://schemas.openxmlformats.org/officeDocument/2006/relationships/image" Target="../media/image32.emf"/><Relationship Id="rId11" Type="http://schemas.openxmlformats.org/officeDocument/2006/relationships/image" Target="../media/image37.emf"/><Relationship Id="rId5" Type="http://schemas.openxmlformats.org/officeDocument/2006/relationships/image" Target="../media/image31.emf"/><Relationship Id="rId10" Type="http://schemas.openxmlformats.org/officeDocument/2006/relationships/image" Target="../media/image36.emf"/><Relationship Id="rId4" Type="http://schemas.openxmlformats.org/officeDocument/2006/relationships/image" Target="../media/image30.emf"/><Relationship Id="rId9" Type="http://schemas.openxmlformats.org/officeDocument/2006/relationships/image" Target="../media/image3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45.emf"/><Relationship Id="rId3" Type="http://schemas.openxmlformats.org/officeDocument/2006/relationships/image" Target="../media/image40.emf"/><Relationship Id="rId7" Type="http://schemas.openxmlformats.org/officeDocument/2006/relationships/image" Target="../media/image44.emf"/><Relationship Id="rId2" Type="http://schemas.openxmlformats.org/officeDocument/2006/relationships/image" Target="../media/image39.emf"/><Relationship Id="rId1" Type="http://schemas.openxmlformats.org/officeDocument/2006/relationships/image" Target="../media/image38.emf"/><Relationship Id="rId6" Type="http://schemas.openxmlformats.org/officeDocument/2006/relationships/image" Target="../media/image43.emf"/><Relationship Id="rId5" Type="http://schemas.openxmlformats.org/officeDocument/2006/relationships/image" Target="../media/image42.emf"/><Relationship Id="rId4" Type="http://schemas.openxmlformats.org/officeDocument/2006/relationships/image" Target="../media/image41.emf"/><Relationship Id="rId9"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537590</xdr:colOff>
      <xdr:row>7</xdr:row>
      <xdr:rowOff>186645</xdr:rowOff>
    </xdr:to>
    <xdr:pic>
      <xdr:nvPicPr>
        <xdr:cNvPr id="3" name="Obrázek 2">
          <a:extLst>
            <a:ext uri="{FF2B5EF4-FFF2-40B4-BE49-F238E27FC236}">
              <a16:creationId xmlns:a16="http://schemas.microsoft.com/office/drawing/2014/main" id="{43FA6267-11D7-4D45-A6AA-3495035D36A1}"/>
            </a:ext>
          </a:extLst>
        </xdr:cNvPr>
        <xdr:cNvPicPr>
          <a:picLocks noChangeAspect="1"/>
        </xdr:cNvPicPr>
      </xdr:nvPicPr>
      <xdr:blipFill>
        <a:blip xmlns:r="http://schemas.openxmlformats.org/officeDocument/2006/relationships" r:embed="rId1"/>
        <a:stretch>
          <a:fillRect/>
        </a:stretch>
      </xdr:blipFill>
      <xdr:spPr>
        <a:xfrm>
          <a:off x="609600" y="1285875"/>
          <a:ext cx="539495" cy="367620"/>
        </a:xfrm>
        <a:prstGeom prst="rect">
          <a:avLst/>
        </a:prstGeom>
      </xdr:spPr>
    </xdr:pic>
    <xdr:clientData/>
  </xdr:twoCellAnchor>
  <xdr:twoCellAnchor editAs="oneCell">
    <xdr:from>
      <xdr:col>2</xdr:col>
      <xdr:colOff>103021</xdr:colOff>
      <xdr:row>6</xdr:row>
      <xdr:rowOff>17145</xdr:rowOff>
    </xdr:from>
    <xdr:to>
      <xdr:col>2</xdr:col>
      <xdr:colOff>644306</xdr:colOff>
      <xdr:row>8</xdr:row>
      <xdr:rowOff>3765</xdr:rowOff>
    </xdr:to>
    <xdr:pic>
      <xdr:nvPicPr>
        <xdr:cNvPr id="4" name="Obrázek 3">
          <a:extLst>
            <a:ext uri="{FF2B5EF4-FFF2-40B4-BE49-F238E27FC236}">
              <a16:creationId xmlns:a16="http://schemas.microsoft.com/office/drawing/2014/main" id="{943041E2-0A02-4B54-8AF2-2E83E88E7A15}"/>
            </a:ext>
          </a:extLst>
        </xdr:cNvPr>
        <xdr:cNvPicPr>
          <a:picLocks noChangeAspect="1"/>
        </xdr:cNvPicPr>
      </xdr:nvPicPr>
      <xdr:blipFill>
        <a:blip xmlns:r="http://schemas.openxmlformats.org/officeDocument/2006/relationships" r:embed="rId2"/>
        <a:stretch>
          <a:fillRect/>
        </a:stretch>
      </xdr:blipFill>
      <xdr:spPr>
        <a:xfrm>
          <a:off x="1360321" y="1304925"/>
          <a:ext cx="537475" cy="367620"/>
        </a:xfrm>
        <a:prstGeom prst="rect">
          <a:avLst/>
        </a:prstGeom>
      </xdr:spPr>
    </xdr:pic>
    <xdr:clientData/>
  </xdr:twoCellAnchor>
  <xdr:twoCellAnchor editAs="oneCell">
    <xdr:from>
      <xdr:col>3</xdr:col>
      <xdr:colOff>261308</xdr:colOff>
      <xdr:row>6</xdr:row>
      <xdr:rowOff>18877</xdr:rowOff>
    </xdr:from>
    <xdr:to>
      <xdr:col>4</xdr:col>
      <xdr:colOff>190423</xdr:colOff>
      <xdr:row>8</xdr:row>
      <xdr:rowOff>3592</xdr:rowOff>
    </xdr:to>
    <xdr:pic>
      <xdr:nvPicPr>
        <xdr:cNvPr id="5" name="Obrázek 4">
          <a:extLst>
            <a:ext uri="{FF2B5EF4-FFF2-40B4-BE49-F238E27FC236}">
              <a16:creationId xmlns:a16="http://schemas.microsoft.com/office/drawing/2014/main" id="{C56FDCAD-2783-44F2-905F-EF29CEDCA1BA}"/>
            </a:ext>
          </a:extLst>
        </xdr:cNvPr>
        <xdr:cNvPicPr>
          <a:picLocks noChangeAspect="1"/>
        </xdr:cNvPicPr>
      </xdr:nvPicPr>
      <xdr:blipFill>
        <a:blip xmlns:r="http://schemas.openxmlformats.org/officeDocument/2006/relationships" r:embed="rId3"/>
        <a:stretch>
          <a:fillRect/>
        </a:stretch>
      </xdr:blipFill>
      <xdr:spPr>
        <a:xfrm>
          <a:off x="2234888" y="1306657"/>
          <a:ext cx="523475" cy="375240"/>
        </a:xfrm>
        <a:prstGeom prst="rect">
          <a:avLst/>
        </a:prstGeom>
      </xdr:spPr>
    </xdr:pic>
    <xdr:clientData/>
  </xdr:twoCellAnchor>
  <xdr:twoCellAnchor editAs="oneCell">
    <xdr:from>
      <xdr:col>4</xdr:col>
      <xdr:colOff>394830</xdr:colOff>
      <xdr:row>6</xdr:row>
      <xdr:rowOff>20782</xdr:rowOff>
    </xdr:from>
    <xdr:to>
      <xdr:col>5</xdr:col>
      <xdr:colOff>314325</xdr:colOff>
      <xdr:row>8</xdr:row>
      <xdr:rowOff>16929</xdr:rowOff>
    </xdr:to>
    <xdr:pic>
      <xdr:nvPicPr>
        <xdr:cNvPr id="6" name="Obrázek 5">
          <a:extLst>
            <a:ext uri="{FF2B5EF4-FFF2-40B4-BE49-F238E27FC236}">
              <a16:creationId xmlns:a16="http://schemas.microsoft.com/office/drawing/2014/main" id="{CB07E161-129E-4F21-BAD7-4213A42A8C23}"/>
            </a:ext>
          </a:extLst>
        </xdr:cNvPr>
        <xdr:cNvPicPr>
          <a:picLocks noChangeAspect="1"/>
        </xdr:cNvPicPr>
      </xdr:nvPicPr>
      <xdr:blipFill>
        <a:blip xmlns:r="http://schemas.openxmlformats.org/officeDocument/2006/relationships" r:embed="rId4"/>
        <a:stretch>
          <a:fillRect/>
        </a:stretch>
      </xdr:blipFill>
      <xdr:spPr>
        <a:xfrm>
          <a:off x="2957055" y="1306657"/>
          <a:ext cx="529095" cy="377147"/>
        </a:xfrm>
        <a:prstGeom prst="rect">
          <a:avLst/>
        </a:prstGeom>
      </xdr:spPr>
    </xdr:pic>
    <xdr:clientData/>
  </xdr:twoCellAnchor>
  <xdr:twoCellAnchor editAs="oneCell">
    <xdr:from>
      <xdr:col>0</xdr:col>
      <xdr:colOff>544117</xdr:colOff>
      <xdr:row>12</xdr:row>
      <xdr:rowOff>179070</xdr:rowOff>
    </xdr:from>
    <xdr:to>
      <xdr:col>1</xdr:col>
      <xdr:colOff>462797</xdr:colOff>
      <xdr:row>14</xdr:row>
      <xdr:rowOff>177120</xdr:rowOff>
    </xdr:to>
    <xdr:pic>
      <xdr:nvPicPr>
        <xdr:cNvPr id="7" name="Obrázek 6">
          <a:extLst>
            <a:ext uri="{FF2B5EF4-FFF2-40B4-BE49-F238E27FC236}">
              <a16:creationId xmlns:a16="http://schemas.microsoft.com/office/drawing/2014/main" id="{EDA3E8DE-F73D-492D-B25E-7AAD1553520C}"/>
            </a:ext>
          </a:extLst>
        </xdr:cNvPr>
        <xdr:cNvPicPr>
          <a:picLocks noChangeAspect="1"/>
        </xdr:cNvPicPr>
      </xdr:nvPicPr>
      <xdr:blipFill>
        <a:blip xmlns:r="http://schemas.openxmlformats.org/officeDocument/2006/relationships" r:embed="rId5"/>
        <a:stretch>
          <a:fillRect/>
        </a:stretch>
      </xdr:blipFill>
      <xdr:spPr>
        <a:xfrm>
          <a:off x="544117" y="2607945"/>
          <a:ext cx="528280" cy="379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182880</xdr:colOff>
          <xdr:row>3</xdr:row>
          <xdr:rowOff>175260</xdr:rowOff>
        </xdr:from>
        <xdr:to>
          <xdr:col>1</xdr:col>
          <xdr:colOff>419100</xdr:colOff>
          <xdr:row>5</xdr:row>
          <xdr:rowOff>30480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xdr:row>
          <xdr:rowOff>175260</xdr:rowOff>
        </xdr:from>
        <xdr:to>
          <xdr:col>2</xdr:col>
          <xdr:colOff>571500</xdr:colOff>
          <xdr:row>5</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3</xdr:row>
          <xdr:rowOff>175260</xdr:rowOff>
        </xdr:from>
        <xdr:to>
          <xdr:col>4</xdr:col>
          <xdr:colOff>99060</xdr:colOff>
          <xdr:row>5</xdr:row>
          <xdr:rowOff>30480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3</xdr:row>
          <xdr:rowOff>175260</xdr:rowOff>
        </xdr:from>
        <xdr:to>
          <xdr:col>5</xdr:col>
          <xdr:colOff>190500</xdr:colOff>
          <xdr:row>5</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137160</xdr:rowOff>
        </xdr:from>
        <xdr:to>
          <xdr:col>1</xdr:col>
          <xdr:colOff>365760</xdr:colOff>
          <xdr:row>11</xdr:row>
          <xdr:rowOff>175260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180975</xdr:rowOff>
    </xdr:from>
    <xdr:to>
      <xdr:col>3</xdr:col>
      <xdr:colOff>416719</xdr:colOff>
      <xdr:row>2</xdr:row>
      <xdr:rowOff>80962</xdr:rowOff>
    </xdr:to>
    <xdr:pic>
      <xdr:nvPicPr>
        <xdr:cNvPr id="2" name="Obrázek 1">
          <a:extLst>
            <a:ext uri="{FF2B5EF4-FFF2-40B4-BE49-F238E27FC236}">
              <a16:creationId xmlns:a16="http://schemas.microsoft.com/office/drawing/2014/main" id="{CEA2ACB9-320C-46B6-ADDD-CFABF6D9CBB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180975"/>
          <a:ext cx="1778794" cy="425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152400</xdr:colOff>
      <xdr:row>2</xdr:row>
      <xdr:rowOff>142875</xdr:rowOff>
    </xdr:from>
    <xdr:to>
      <xdr:col>13</xdr:col>
      <xdr:colOff>0</xdr:colOff>
      <xdr:row>27</xdr:row>
      <xdr:rowOff>185963</xdr:rowOff>
    </xdr:to>
    <xdr:pic>
      <xdr:nvPicPr>
        <xdr:cNvPr id="9" name="Obrázek 8">
          <a:extLst>
            <a:ext uri="{FF2B5EF4-FFF2-40B4-BE49-F238E27FC236}">
              <a16:creationId xmlns:a16="http://schemas.microsoft.com/office/drawing/2014/main" id="{D40297B2-DD82-C017-4EF6-27A7D65593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3025" y="561975"/>
          <a:ext cx="3409949" cy="51961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297180</xdr:colOff>
          <xdr:row>10</xdr:row>
          <xdr:rowOff>114300</xdr:rowOff>
        </xdr:from>
        <xdr:to>
          <xdr:col>2</xdr:col>
          <xdr:colOff>533400</xdr:colOff>
          <xdr:row>11</xdr:row>
          <xdr:rowOff>160020</xdr:rowOff>
        </xdr:to>
        <xdr:sp macro="" textlink="">
          <xdr:nvSpPr>
            <xdr:cNvPr id="1031" name="Option Button 6"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10</xdr:row>
          <xdr:rowOff>99060</xdr:rowOff>
        </xdr:from>
        <xdr:to>
          <xdr:col>4</xdr:col>
          <xdr:colOff>45720</xdr:colOff>
          <xdr:row>11</xdr:row>
          <xdr:rowOff>144780</xdr:rowOff>
        </xdr:to>
        <xdr:sp macro="" textlink="">
          <xdr:nvSpPr>
            <xdr:cNvPr id="1032" name="Option Button 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10</xdr:row>
          <xdr:rowOff>99060</xdr:rowOff>
        </xdr:from>
        <xdr:to>
          <xdr:col>5</xdr:col>
          <xdr:colOff>190500</xdr:colOff>
          <xdr:row>11</xdr:row>
          <xdr:rowOff>144780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85725</xdr:colOff>
      <xdr:row>12</xdr:row>
      <xdr:rowOff>171450</xdr:rowOff>
    </xdr:from>
    <xdr:to>
      <xdr:col>2</xdr:col>
      <xdr:colOff>622125</xdr:colOff>
      <xdr:row>14</xdr:row>
      <xdr:rowOff>168450</xdr:rowOff>
    </xdr:to>
    <xdr:pic>
      <xdr:nvPicPr>
        <xdr:cNvPr id="8" name="Obrázek 7">
          <a:extLst>
            <a:ext uri="{FF2B5EF4-FFF2-40B4-BE49-F238E27FC236}">
              <a16:creationId xmlns:a16="http://schemas.microsoft.com/office/drawing/2014/main" id="{C4E63E7D-5ECB-497E-BA96-647DD4874F5C}"/>
            </a:ext>
          </a:extLst>
        </xdr:cNvPr>
        <xdr:cNvPicPr>
          <a:picLocks/>
        </xdr:cNvPicPr>
      </xdr:nvPicPr>
      <xdr:blipFill>
        <a:blip xmlns:r="http://schemas.openxmlformats.org/officeDocument/2006/relationships" r:embed="rId8"/>
        <a:stretch>
          <a:fillRect/>
        </a:stretch>
      </xdr:blipFill>
      <xdr:spPr>
        <a:xfrm>
          <a:off x="1343025" y="2600325"/>
          <a:ext cx="536400" cy="378000"/>
        </a:xfrm>
        <a:prstGeom prst="rect">
          <a:avLst/>
        </a:prstGeom>
      </xdr:spPr>
    </xdr:pic>
    <xdr:clientData/>
  </xdr:twoCellAnchor>
  <xdr:twoCellAnchor editAs="oneCell">
    <xdr:from>
      <xdr:col>3</xdr:col>
      <xdr:colOff>219075</xdr:colOff>
      <xdr:row>12</xdr:row>
      <xdr:rowOff>171450</xdr:rowOff>
    </xdr:from>
    <xdr:to>
      <xdr:col>4</xdr:col>
      <xdr:colOff>164925</xdr:colOff>
      <xdr:row>14</xdr:row>
      <xdr:rowOff>168450</xdr:rowOff>
    </xdr:to>
    <xdr:pic>
      <xdr:nvPicPr>
        <xdr:cNvPr id="10" name="Obrázek 9" descr="Německá vlajka | Vlajky.EU">
          <a:extLst>
            <a:ext uri="{FF2B5EF4-FFF2-40B4-BE49-F238E27FC236}">
              <a16:creationId xmlns:a16="http://schemas.microsoft.com/office/drawing/2014/main" id="{6DD73B36-1284-4F58-8371-E00DD3804E37}"/>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190750" y="260032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409575</xdr:colOff>
      <xdr:row>12</xdr:row>
      <xdr:rowOff>152400</xdr:rowOff>
    </xdr:from>
    <xdr:to>
      <xdr:col>5</xdr:col>
      <xdr:colOff>336375</xdr:colOff>
      <xdr:row>14</xdr:row>
      <xdr:rowOff>149400</xdr:rowOff>
    </xdr:to>
    <xdr:pic>
      <xdr:nvPicPr>
        <xdr:cNvPr id="11" name="Obrázek 10" descr="Ruská vlajka – Wikipedie">
          <a:extLst>
            <a:ext uri="{FF2B5EF4-FFF2-40B4-BE49-F238E27FC236}">
              <a16:creationId xmlns:a16="http://schemas.microsoft.com/office/drawing/2014/main" id="{FD5BF4FD-2594-416D-9097-0E2DA710DD00}"/>
            </a:ext>
          </a:extLst>
        </xdr:cNvPr>
        <xdr:cNvPicPr>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71800" y="258127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1905</xdr:rowOff>
    </xdr:from>
    <xdr:to>
      <xdr:col>2</xdr:col>
      <xdr:colOff>537590</xdr:colOff>
      <xdr:row>4</xdr:row>
      <xdr:rowOff>188550</xdr:rowOff>
    </xdr:to>
    <xdr:pic>
      <xdr:nvPicPr>
        <xdr:cNvPr id="2" name="Obrázek 1">
          <a:extLst>
            <a:ext uri="{FF2B5EF4-FFF2-40B4-BE49-F238E27FC236}">
              <a16:creationId xmlns:a16="http://schemas.microsoft.com/office/drawing/2014/main" id="{E71DF903-D899-435A-9439-FF73890686CC}"/>
            </a:ext>
          </a:extLst>
        </xdr:cNvPr>
        <xdr:cNvPicPr>
          <a:picLocks noChangeAspect="1"/>
        </xdr:cNvPicPr>
      </xdr:nvPicPr>
      <xdr:blipFill>
        <a:blip xmlns:r="http://schemas.openxmlformats.org/officeDocument/2006/relationships" r:embed="rId1"/>
        <a:stretch>
          <a:fillRect/>
        </a:stretch>
      </xdr:blipFill>
      <xdr:spPr>
        <a:xfrm>
          <a:off x="1219200" y="573405"/>
          <a:ext cx="537590" cy="377145"/>
        </a:xfrm>
        <a:prstGeom prst="rect">
          <a:avLst/>
        </a:prstGeom>
      </xdr:spPr>
    </xdr:pic>
    <xdr:clientData/>
  </xdr:twoCellAnchor>
  <xdr:twoCellAnchor editAs="oneCell">
    <xdr:from>
      <xdr:col>3</xdr:col>
      <xdr:colOff>141121</xdr:colOff>
      <xdr:row>3</xdr:row>
      <xdr:rowOff>19050</xdr:rowOff>
    </xdr:from>
    <xdr:to>
      <xdr:col>4</xdr:col>
      <xdr:colOff>72806</xdr:colOff>
      <xdr:row>5</xdr:row>
      <xdr:rowOff>5670</xdr:rowOff>
    </xdr:to>
    <xdr:pic>
      <xdr:nvPicPr>
        <xdr:cNvPr id="3" name="Obrázek 2">
          <a:extLst>
            <a:ext uri="{FF2B5EF4-FFF2-40B4-BE49-F238E27FC236}">
              <a16:creationId xmlns:a16="http://schemas.microsoft.com/office/drawing/2014/main" id="{E98D2001-ED0D-435F-BC44-A5191FD2147E}"/>
            </a:ext>
          </a:extLst>
        </xdr:cNvPr>
        <xdr:cNvPicPr>
          <a:picLocks noChangeAspect="1"/>
        </xdr:cNvPicPr>
      </xdr:nvPicPr>
      <xdr:blipFill>
        <a:blip xmlns:r="http://schemas.openxmlformats.org/officeDocument/2006/relationships" r:embed="rId2"/>
        <a:stretch>
          <a:fillRect/>
        </a:stretch>
      </xdr:blipFill>
      <xdr:spPr>
        <a:xfrm>
          <a:off x="1969921" y="590550"/>
          <a:ext cx="541285" cy="367620"/>
        </a:xfrm>
        <a:prstGeom prst="rect">
          <a:avLst/>
        </a:prstGeom>
      </xdr:spPr>
    </xdr:pic>
    <xdr:clientData/>
  </xdr:twoCellAnchor>
  <xdr:twoCellAnchor editAs="oneCell">
    <xdr:from>
      <xdr:col>4</xdr:col>
      <xdr:colOff>404183</xdr:colOff>
      <xdr:row>3</xdr:row>
      <xdr:rowOff>20782</xdr:rowOff>
    </xdr:from>
    <xdr:to>
      <xdr:col>5</xdr:col>
      <xdr:colOff>314248</xdr:colOff>
      <xdr:row>5</xdr:row>
      <xdr:rowOff>5497</xdr:rowOff>
    </xdr:to>
    <xdr:pic>
      <xdr:nvPicPr>
        <xdr:cNvPr id="4" name="Obrázek 3">
          <a:extLst>
            <a:ext uri="{FF2B5EF4-FFF2-40B4-BE49-F238E27FC236}">
              <a16:creationId xmlns:a16="http://schemas.microsoft.com/office/drawing/2014/main" id="{7FB944B9-BC44-46CA-B67C-C277647562B0}"/>
            </a:ext>
          </a:extLst>
        </xdr:cNvPr>
        <xdr:cNvPicPr>
          <a:picLocks noChangeAspect="1"/>
        </xdr:cNvPicPr>
      </xdr:nvPicPr>
      <xdr:blipFill>
        <a:blip xmlns:r="http://schemas.openxmlformats.org/officeDocument/2006/relationships" r:embed="rId3"/>
        <a:stretch>
          <a:fillRect/>
        </a:stretch>
      </xdr:blipFill>
      <xdr:spPr>
        <a:xfrm>
          <a:off x="2842583" y="592282"/>
          <a:ext cx="519665" cy="365715"/>
        </a:xfrm>
        <a:prstGeom prst="rect">
          <a:avLst/>
        </a:prstGeom>
      </xdr:spPr>
    </xdr:pic>
    <xdr:clientData/>
  </xdr:twoCellAnchor>
  <xdr:twoCellAnchor editAs="oneCell">
    <xdr:from>
      <xdr:col>5</xdr:col>
      <xdr:colOff>518655</xdr:colOff>
      <xdr:row>3</xdr:row>
      <xdr:rowOff>22687</xdr:rowOff>
    </xdr:from>
    <xdr:to>
      <xdr:col>6</xdr:col>
      <xdr:colOff>438150</xdr:colOff>
      <xdr:row>5</xdr:row>
      <xdr:rowOff>18834</xdr:rowOff>
    </xdr:to>
    <xdr:pic>
      <xdr:nvPicPr>
        <xdr:cNvPr id="5" name="Obrázek 4">
          <a:extLst>
            <a:ext uri="{FF2B5EF4-FFF2-40B4-BE49-F238E27FC236}">
              <a16:creationId xmlns:a16="http://schemas.microsoft.com/office/drawing/2014/main" id="{8792752B-2ECE-40AB-A0B3-88416A3F8F44}"/>
            </a:ext>
          </a:extLst>
        </xdr:cNvPr>
        <xdr:cNvPicPr>
          <a:picLocks noChangeAspect="1"/>
        </xdr:cNvPicPr>
      </xdr:nvPicPr>
      <xdr:blipFill>
        <a:blip xmlns:r="http://schemas.openxmlformats.org/officeDocument/2006/relationships" r:embed="rId4"/>
        <a:stretch>
          <a:fillRect/>
        </a:stretch>
      </xdr:blipFill>
      <xdr:spPr>
        <a:xfrm>
          <a:off x="3566655" y="594187"/>
          <a:ext cx="529095" cy="377147"/>
        </a:xfrm>
        <a:prstGeom prst="rect">
          <a:avLst/>
        </a:prstGeom>
      </xdr:spPr>
    </xdr:pic>
    <xdr:clientData/>
  </xdr:twoCellAnchor>
  <xdr:twoCellAnchor editAs="oneCell">
    <xdr:from>
      <xdr:col>6</xdr:col>
      <xdr:colOff>582217</xdr:colOff>
      <xdr:row>3</xdr:row>
      <xdr:rowOff>0</xdr:rowOff>
    </xdr:from>
    <xdr:to>
      <xdr:col>7</xdr:col>
      <xdr:colOff>500897</xdr:colOff>
      <xdr:row>4</xdr:row>
      <xdr:rowOff>188550</xdr:rowOff>
    </xdr:to>
    <xdr:pic>
      <xdr:nvPicPr>
        <xdr:cNvPr id="6" name="Obrázek 5">
          <a:extLst>
            <a:ext uri="{FF2B5EF4-FFF2-40B4-BE49-F238E27FC236}">
              <a16:creationId xmlns:a16="http://schemas.microsoft.com/office/drawing/2014/main" id="{D01BB1C3-0607-43A4-AE1B-AFFB58470456}"/>
            </a:ext>
          </a:extLst>
        </xdr:cNvPr>
        <xdr:cNvPicPr>
          <a:picLocks noChangeAspect="1"/>
        </xdr:cNvPicPr>
      </xdr:nvPicPr>
      <xdr:blipFill>
        <a:blip xmlns:r="http://schemas.openxmlformats.org/officeDocument/2006/relationships" r:embed="rId5"/>
        <a:stretch>
          <a:fillRect/>
        </a:stretch>
      </xdr:blipFill>
      <xdr:spPr>
        <a:xfrm>
          <a:off x="4239817" y="571500"/>
          <a:ext cx="528280" cy="379050"/>
        </a:xfrm>
        <a:prstGeom prst="rect">
          <a:avLst/>
        </a:prstGeom>
      </xdr:spPr>
    </xdr:pic>
    <xdr:clientData/>
  </xdr:twoCellAnchor>
  <xdr:twoCellAnchor editAs="oneCell">
    <xdr:from>
      <xdr:col>8</xdr:col>
      <xdr:colOff>19051</xdr:colOff>
      <xdr:row>2</xdr:row>
      <xdr:rowOff>180975</xdr:rowOff>
    </xdr:from>
    <xdr:to>
      <xdr:col>8</xdr:col>
      <xdr:colOff>555451</xdr:colOff>
      <xdr:row>4</xdr:row>
      <xdr:rowOff>177975</xdr:rowOff>
    </xdr:to>
    <xdr:pic>
      <xdr:nvPicPr>
        <xdr:cNvPr id="8" name="Obrázek 7">
          <a:extLst>
            <a:ext uri="{FF2B5EF4-FFF2-40B4-BE49-F238E27FC236}">
              <a16:creationId xmlns:a16="http://schemas.microsoft.com/office/drawing/2014/main" id="{93982038-97C3-4BA4-F193-01B819C5DA81}"/>
            </a:ext>
          </a:extLst>
        </xdr:cNvPr>
        <xdr:cNvPicPr>
          <a:picLocks/>
        </xdr:cNvPicPr>
      </xdr:nvPicPr>
      <xdr:blipFill>
        <a:blip xmlns:r="http://schemas.openxmlformats.org/officeDocument/2006/relationships" r:embed="rId6"/>
        <a:stretch>
          <a:fillRect/>
        </a:stretch>
      </xdr:blipFill>
      <xdr:spPr>
        <a:xfrm>
          <a:off x="4895851" y="561975"/>
          <a:ext cx="536400" cy="378000"/>
        </a:xfrm>
        <a:prstGeom prst="rect">
          <a:avLst/>
        </a:prstGeom>
      </xdr:spPr>
    </xdr:pic>
    <xdr:clientData/>
  </xdr:twoCellAnchor>
  <xdr:twoCellAnchor editAs="oneCell">
    <xdr:from>
      <xdr:col>9</xdr:col>
      <xdr:colOff>238125</xdr:colOff>
      <xdr:row>3</xdr:row>
      <xdr:rowOff>9525</xdr:rowOff>
    </xdr:from>
    <xdr:to>
      <xdr:col>10</xdr:col>
      <xdr:colOff>164925</xdr:colOff>
      <xdr:row>5</xdr:row>
      <xdr:rowOff>6525</xdr:rowOff>
    </xdr:to>
    <xdr:pic>
      <xdr:nvPicPr>
        <xdr:cNvPr id="9" name="Obrázek 8" descr="Německá vlajka | Vlajky.EU">
          <a:extLst>
            <a:ext uri="{FF2B5EF4-FFF2-40B4-BE49-F238E27FC236}">
              <a16:creationId xmlns:a16="http://schemas.microsoft.com/office/drawing/2014/main" id="{55F6CF70-C8C9-29A9-A520-056C85ADC5DF}"/>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24525" y="581025"/>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361950</xdr:colOff>
      <xdr:row>3</xdr:row>
      <xdr:rowOff>0</xdr:rowOff>
    </xdr:from>
    <xdr:to>
      <xdr:col>11</xdr:col>
      <xdr:colOff>288750</xdr:colOff>
      <xdr:row>4</xdr:row>
      <xdr:rowOff>187500</xdr:rowOff>
    </xdr:to>
    <xdr:pic>
      <xdr:nvPicPr>
        <xdr:cNvPr id="10" name="Obrázek 9" descr="Ruská vlajka – Wikipedie">
          <a:extLst>
            <a:ext uri="{FF2B5EF4-FFF2-40B4-BE49-F238E27FC236}">
              <a16:creationId xmlns:a16="http://schemas.microsoft.com/office/drawing/2014/main" id="{71CB6FDD-75EF-A8E1-6369-EBC6783F3434}"/>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57950" y="571500"/>
          <a:ext cx="536400" cy="3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15</xdr:col>
          <xdr:colOff>0</xdr:colOff>
          <xdr:row>0</xdr:row>
          <xdr:rowOff>175260</xdr:rowOff>
        </xdr:to>
        <xdr:sp macro="" textlink="">
          <xdr:nvSpPr>
            <xdr:cNvPr id="5121" name="Check Box 1967"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2</xdr:col>
      <xdr:colOff>238122</xdr:colOff>
      <xdr:row>0</xdr:row>
      <xdr:rowOff>0</xdr:rowOff>
    </xdr:from>
    <xdr:to>
      <xdr:col>2</xdr:col>
      <xdr:colOff>238122</xdr:colOff>
      <xdr:row>5</xdr:row>
      <xdr:rowOff>135120</xdr:rowOff>
    </xdr:to>
    <xdr:pic>
      <xdr:nvPicPr>
        <xdr:cNvPr id="2" name="Obrázek 1">
          <a:extLst>
            <a:ext uri="{FF2B5EF4-FFF2-40B4-BE49-F238E27FC236}">
              <a16:creationId xmlns:a16="http://schemas.microsoft.com/office/drawing/2014/main" id="{8BC86FD3-79C2-4AF1-86C3-12BCFE84A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2" y="0"/>
          <a:ext cx="0" cy="103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38446</xdr:colOff>
      <xdr:row>18</xdr:row>
      <xdr:rowOff>152863</xdr:rowOff>
    </xdr:from>
    <xdr:to>
      <xdr:col>2</xdr:col>
      <xdr:colOff>396240</xdr:colOff>
      <xdr:row>20</xdr:row>
      <xdr:rowOff>62193</xdr:rowOff>
    </xdr:to>
    <xdr:pic>
      <xdr:nvPicPr>
        <xdr:cNvPr id="3" name="Obrázek 2">
          <a:extLst>
            <a:ext uri="{FF2B5EF4-FFF2-40B4-BE49-F238E27FC236}">
              <a16:creationId xmlns:a16="http://schemas.microsoft.com/office/drawing/2014/main" id="{E915AA64-8DCC-46D1-9A26-91DB9E79A1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696" y="3458038"/>
          <a:ext cx="357794" cy="347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3811</xdr:colOff>
      <xdr:row>1</xdr:row>
      <xdr:rowOff>0</xdr:rowOff>
    </xdr:from>
    <xdr:to>
      <xdr:col>5</xdr:col>
      <xdr:colOff>85726</xdr:colOff>
      <xdr:row>3</xdr:row>
      <xdr:rowOff>112532</xdr:rowOff>
    </xdr:to>
    <xdr:pic>
      <xdr:nvPicPr>
        <xdr:cNvPr id="5" name="Obrázek 4">
          <a:extLst>
            <a:ext uri="{FF2B5EF4-FFF2-40B4-BE49-F238E27FC236}">
              <a16:creationId xmlns:a16="http://schemas.microsoft.com/office/drawing/2014/main" id="{569DCDB8-527E-4A7E-BA75-506A6EB5DA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1061"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38101</xdr:colOff>
      <xdr:row>22</xdr:row>
      <xdr:rowOff>85725</xdr:rowOff>
    </xdr:from>
    <xdr:to>
      <xdr:col>10</xdr:col>
      <xdr:colOff>150744</xdr:colOff>
      <xdr:row>27</xdr:row>
      <xdr:rowOff>123825</xdr:rowOff>
    </xdr:to>
    <xdr:pic>
      <xdr:nvPicPr>
        <xdr:cNvPr id="4" name="Obrázek 3">
          <a:extLst>
            <a:ext uri="{FF2B5EF4-FFF2-40B4-BE49-F238E27FC236}">
              <a16:creationId xmlns:a16="http://schemas.microsoft.com/office/drawing/2014/main" id="{E268DCCC-A798-62B4-AE02-9D3AB0BED57F}"/>
            </a:ext>
          </a:extLst>
        </xdr:cNvPr>
        <xdr:cNvPicPr>
          <a:picLocks noChangeAspect="1"/>
        </xdr:cNvPicPr>
      </xdr:nvPicPr>
      <xdr:blipFill>
        <a:blip xmlns:r="http://schemas.openxmlformats.org/officeDocument/2006/relationships" r:embed="rId4"/>
        <a:stretch>
          <a:fillRect/>
        </a:stretch>
      </xdr:blipFill>
      <xdr:spPr>
        <a:xfrm>
          <a:off x="895351" y="4205288"/>
          <a:ext cx="4732268" cy="1228725"/>
        </a:xfrm>
        <a:prstGeom prst="rect">
          <a:avLst/>
        </a:prstGeom>
      </xdr:spPr>
    </xdr:pic>
    <xdr:clientData/>
  </xdr:twoCellAnchor>
  <xdr:twoCellAnchor editAs="oneCell">
    <xdr:from>
      <xdr:col>11</xdr:col>
      <xdr:colOff>476251</xdr:colOff>
      <xdr:row>23</xdr:row>
      <xdr:rowOff>0</xdr:rowOff>
    </xdr:from>
    <xdr:to>
      <xdr:col>14</xdr:col>
      <xdr:colOff>76201</xdr:colOff>
      <xdr:row>26</xdr:row>
      <xdr:rowOff>91096</xdr:rowOff>
    </xdr:to>
    <xdr:pic>
      <xdr:nvPicPr>
        <xdr:cNvPr id="6" name="Obrázek 5">
          <a:extLst>
            <a:ext uri="{FF2B5EF4-FFF2-40B4-BE49-F238E27FC236}">
              <a16:creationId xmlns:a16="http://schemas.microsoft.com/office/drawing/2014/main" id="{828401EE-F0F7-4218-EC45-7CDFB596D2C2}"/>
            </a:ext>
          </a:extLst>
        </xdr:cNvPr>
        <xdr:cNvPicPr>
          <a:picLocks noChangeAspect="1"/>
        </xdr:cNvPicPr>
      </xdr:nvPicPr>
      <xdr:blipFill>
        <a:blip xmlns:r="http://schemas.openxmlformats.org/officeDocument/2006/relationships" r:embed="rId5"/>
        <a:stretch>
          <a:fillRect/>
        </a:stretch>
      </xdr:blipFill>
      <xdr:spPr>
        <a:xfrm>
          <a:off x="6505576" y="4410075"/>
          <a:ext cx="2038350" cy="862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15</xdr:col>
          <xdr:colOff>0</xdr:colOff>
          <xdr:row>0</xdr:row>
          <xdr:rowOff>175260</xdr:rowOff>
        </xdr:to>
        <xdr:sp macro="" textlink="">
          <xdr:nvSpPr>
            <xdr:cNvPr id="14337" name="Check Box 1967"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2</xdr:col>
      <xdr:colOff>228597</xdr:colOff>
      <xdr:row>0</xdr:row>
      <xdr:rowOff>0</xdr:rowOff>
    </xdr:from>
    <xdr:to>
      <xdr:col>2</xdr:col>
      <xdr:colOff>228597</xdr:colOff>
      <xdr:row>5</xdr:row>
      <xdr:rowOff>135120</xdr:rowOff>
    </xdr:to>
    <xdr:pic>
      <xdr:nvPicPr>
        <xdr:cNvPr id="2" name="Obrázek 1">
          <a:extLst>
            <a:ext uri="{FF2B5EF4-FFF2-40B4-BE49-F238E27FC236}">
              <a16:creationId xmlns:a16="http://schemas.microsoft.com/office/drawing/2014/main" id="{7F500538-31A2-496D-BD05-01905600E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47" y="0"/>
          <a:ext cx="0" cy="103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3811</xdr:colOff>
      <xdr:row>1</xdr:row>
      <xdr:rowOff>0</xdr:rowOff>
    </xdr:from>
    <xdr:to>
      <xdr:col>4</xdr:col>
      <xdr:colOff>200026</xdr:colOff>
      <xdr:row>3</xdr:row>
      <xdr:rowOff>112532</xdr:rowOff>
    </xdr:to>
    <xdr:pic>
      <xdr:nvPicPr>
        <xdr:cNvPr id="4" name="Obrázek 3">
          <a:extLst>
            <a:ext uri="{FF2B5EF4-FFF2-40B4-BE49-F238E27FC236}">
              <a16:creationId xmlns:a16="http://schemas.microsoft.com/office/drawing/2014/main" id="{F5AEA325-DA32-4348-84FA-0CE99E286B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1061"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409575</xdr:colOff>
      <xdr:row>12</xdr:row>
      <xdr:rowOff>47625</xdr:rowOff>
    </xdr:from>
    <xdr:to>
      <xdr:col>4</xdr:col>
      <xdr:colOff>252114</xdr:colOff>
      <xdr:row>19</xdr:row>
      <xdr:rowOff>180975</xdr:rowOff>
    </xdr:to>
    <xdr:pic>
      <xdr:nvPicPr>
        <xdr:cNvPr id="5" name="Obrázek 4">
          <a:hlinkClick xmlns:r="http://schemas.openxmlformats.org/officeDocument/2006/relationships" r:id="rId3"/>
          <a:extLst>
            <a:ext uri="{FF2B5EF4-FFF2-40B4-BE49-F238E27FC236}">
              <a16:creationId xmlns:a16="http://schemas.microsoft.com/office/drawing/2014/main" id="{2132CB87-B576-41FF-B63B-5F8CD7833CB9}"/>
            </a:ext>
          </a:extLst>
        </xdr:cNvPr>
        <xdr:cNvPicPr>
          <a:picLocks noChangeAspect="1"/>
        </xdr:cNvPicPr>
      </xdr:nvPicPr>
      <xdr:blipFill>
        <a:blip xmlns:r="http://schemas.openxmlformats.org/officeDocument/2006/relationships" r:embed="rId4"/>
        <a:stretch>
          <a:fillRect/>
        </a:stretch>
      </xdr:blipFill>
      <xdr:spPr>
        <a:xfrm>
          <a:off x="676275" y="2124075"/>
          <a:ext cx="1947564" cy="1466850"/>
        </a:xfrm>
        <a:prstGeom prst="rect">
          <a:avLst/>
        </a:prstGeom>
      </xdr:spPr>
    </xdr:pic>
    <xdr:clientData/>
  </xdr:twoCellAnchor>
  <xdr:twoCellAnchor editAs="oneCell">
    <xdr:from>
      <xdr:col>7</xdr:col>
      <xdr:colOff>438150</xdr:colOff>
      <xdr:row>10</xdr:row>
      <xdr:rowOff>19050</xdr:rowOff>
    </xdr:from>
    <xdr:to>
      <xdr:col>11</xdr:col>
      <xdr:colOff>85725</xdr:colOff>
      <xdr:row>21</xdr:row>
      <xdr:rowOff>55377</xdr:rowOff>
    </xdr:to>
    <xdr:pic>
      <xdr:nvPicPr>
        <xdr:cNvPr id="3" name="Obrázek 2" descr="Coming Soon Page - nopCommerce">
          <a:extLst>
            <a:ext uri="{FF2B5EF4-FFF2-40B4-BE49-F238E27FC236}">
              <a16:creationId xmlns:a16="http://schemas.microsoft.com/office/drawing/2014/main" id="{4DBFC036-2E5C-8E57-A85E-7193DAF5A8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05275" y="1885950"/>
          <a:ext cx="2124075" cy="2131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416947</xdr:colOff>
      <xdr:row>32</xdr:row>
      <xdr:rowOff>130984</xdr:rowOff>
    </xdr:from>
    <xdr:to>
      <xdr:col>5</xdr:col>
      <xdr:colOff>448547</xdr:colOff>
      <xdr:row>32</xdr:row>
      <xdr:rowOff>136699</xdr:rowOff>
    </xdr:to>
    <xdr:cxnSp macro="">
      <xdr:nvCxnSpPr>
        <xdr:cNvPr id="4" name="Přímá spojnice se šipkou 3">
          <a:extLst>
            <a:ext uri="{FF2B5EF4-FFF2-40B4-BE49-F238E27FC236}">
              <a16:creationId xmlns:a16="http://schemas.microsoft.com/office/drawing/2014/main" id="{370C1354-8B85-0D35-D7E8-DA290CEC6CBF}"/>
            </a:ext>
          </a:extLst>
        </xdr:cNvPr>
        <xdr:cNvCxnSpPr/>
      </xdr:nvCxnSpPr>
      <xdr:spPr>
        <a:xfrm>
          <a:off x="3221530" y="6174067"/>
          <a:ext cx="825350" cy="571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123825</xdr:colOff>
      <xdr:row>1</xdr:row>
      <xdr:rowOff>0</xdr:rowOff>
    </xdr:from>
    <xdr:to>
      <xdr:col>3</xdr:col>
      <xdr:colOff>872491</xdr:colOff>
      <xdr:row>3</xdr:row>
      <xdr:rowOff>112532</xdr:rowOff>
    </xdr:to>
    <xdr:pic>
      <xdr:nvPicPr>
        <xdr:cNvPr id="5" name="Obrázek 4">
          <a:extLst>
            <a:ext uri="{FF2B5EF4-FFF2-40B4-BE49-F238E27FC236}">
              <a16:creationId xmlns:a16="http://schemas.microsoft.com/office/drawing/2014/main" id="{196E1B95-B04F-4088-9A6D-03CC46A3D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190500"/>
          <a:ext cx="1710690" cy="4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857873</xdr:colOff>
      <xdr:row>26</xdr:row>
      <xdr:rowOff>33367</xdr:rowOff>
    </xdr:from>
    <xdr:to>
      <xdr:col>0</xdr:col>
      <xdr:colOff>859441</xdr:colOff>
      <xdr:row>30</xdr:row>
      <xdr:rowOff>136125</xdr:rowOff>
    </xdr:to>
    <xdr:cxnSp macro="">
      <xdr:nvCxnSpPr>
        <xdr:cNvPr id="2" name="Přímá spojnice se šipkou 1">
          <a:extLst>
            <a:ext uri="{FF2B5EF4-FFF2-40B4-BE49-F238E27FC236}">
              <a16:creationId xmlns:a16="http://schemas.microsoft.com/office/drawing/2014/main" id="{E25B5D6B-FEFA-4B4D-8349-C5B55479D489}"/>
            </a:ext>
          </a:extLst>
        </xdr:cNvPr>
        <xdr:cNvCxnSpPr/>
      </xdr:nvCxnSpPr>
      <xdr:spPr>
        <a:xfrm flipH="1" flipV="1">
          <a:off x="857873" y="4833967"/>
          <a:ext cx="1568" cy="8478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412130</xdr:colOff>
      <xdr:row>46</xdr:row>
      <xdr:rowOff>135717</xdr:rowOff>
    </xdr:from>
    <xdr:to>
      <xdr:col>6</xdr:col>
      <xdr:colOff>1042148</xdr:colOff>
      <xdr:row>69</xdr:row>
      <xdr:rowOff>106344</xdr:rowOff>
    </xdr:to>
    <xdr:pic>
      <xdr:nvPicPr>
        <xdr:cNvPr id="6" name="Obrázek 5">
          <a:extLst>
            <a:ext uri="{FF2B5EF4-FFF2-40B4-BE49-F238E27FC236}">
              <a16:creationId xmlns:a16="http://schemas.microsoft.com/office/drawing/2014/main" id="{A615750D-D395-0856-EA53-ECE174D54117}"/>
            </a:ext>
          </a:extLst>
        </xdr:cNvPr>
        <xdr:cNvPicPr>
          <a:picLocks noChangeAspect="1"/>
        </xdr:cNvPicPr>
      </xdr:nvPicPr>
      <xdr:blipFill>
        <a:blip xmlns:r="http://schemas.openxmlformats.org/officeDocument/2006/relationships" r:embed="rId2"/>
        <a:stretch>
          <a:fillRect/>
        </a:stretch>
      </xdr:blipFill>
      <xdr:spPr>
        <a:xfrm>
          <a:off x="1129306" y="8977158"/>
          <a:ext cx="4764988" cy="51141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11206</xdr:colOff>
          <xdr:row>184</xdr:row>
          <xdr:rowOff>171012</xdr:rowOff>
        </xdr:from>
        <xdr:to>
          <xdr:col>5</xdr:col>
          <xdr:colOff>268106</xdr:colOff>
          <xdr:row>195</xdr:row>
          <xdr:rowOff>102236</xdr:rowOff>
        </xdr:to>
        <xdr:pic>
          <xdr:nvPicPr>
            <xdr:cNvPr id="29" name="Obrázek 28">
              <a:extLst>
                <a:ext uri="{FF2B5EF4-FFF2-40B4-BE49-F238E27FC236}">
                  <a16:creationId xmlns:a16="http://schemas.microsoft.com/office/drawing/2014/main" id="{3CB97CBD-E028-9693-245F-D8CEC6F921E9}"/>
                </a:ext>
              </a:extLst>
            </xdr:cNvPr>
            <xdr:cNvPicPr>
              <a:picLocks noChangeAspect="1" noChangeArrowheads="1"/>
              <a:extLst>
                <a:ext uri="{84589F7E-364E-4C9E-8A38-B11213B215E9}">
                  <a14:cameraTool cellRange="$B$8:$G$22" spid="_x0000_s15878"/>
                </a:ext>
              </a:extLst>
            </xdr:cNvPicPr>
          </xdr:nvPicPr>
          <xdr:blipFill>
            <a:blip xmlns:r="http://schemas.openxmlformats.org/officeDocument/2006/relationships" r:embed="rId3"/>
            <a:srcRect/>
            <a:stretch>
              <a:fillRect/>
            </a:stretch>
          </xdr:blipFill>
          <xdr:spPr bwMode="auto">
            <a:xfrm>
              <a:off x="11206" y="41501229"/>
              <a:ext cx="4071686" cy="20267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896471</xdr:colOff>
          <xdr:row>185</xdr:row>
          <xdr:rowOff>14129</xdr:rowOff>
        </xdr:from>
        <xdr:to>
          <xdr:col>7</xdr:col>
          <xdr:colOff>190500</xdr:colOff>
          <xdr:row>195</xdr:row>
          <xdr:rowOff>122385</xdr:rowOff>
        </xdr:to>
        <xdr:pic>
          <xdr:nvPicPr>
            <xdr:cNvPr id="30" name="Obrázek 29">
              <a:extLst>
                <a:ext uri="{FF2B5EF4-FFF2-40B4-BE49-F238E27FC236}">
                  <a16:creationId xmlns:a16="http://schemas.microsoft.com/office/drawing/2014/main" id="{8499DD68-E40C-F566-00F6-515A5CB3023A}"/>
                </a:ext>
              </a:extLst>
            </xdr:cNvPr>
            <xdr:cNvPicPr>
              <a:picLocks noChangeAspect="1" noChangeArrowheads="1"/>
              <a:extLst>
                <a:ext uri="{84589F7E-364E-4C9E-8A38-B11213B215E9}">
                  <a14:cameraTool cellRange="$I$5" spid="_x0000_s15879"/>
                </a:ext>
              </a:extLst>
            </xdr:cNvPicPr>
          </xdr:nvPicPr>
          <xdr:blipFill>
            <a:blip xmlns:r="http://schemas.openxmlformats.org/officeDocument/2006/relationships" r:embed="rId4"/>
            <a:srcRect/>
            <a:stretch>
              <a:fillRect/>
            </a:stretch>
          </xdr:blipFill>
          <xdr:spPr bwMode="auto">
            <a:xfrm>
              <a:off x="4491123" y="41534846"/>
              <a:ext cx="2192942" cy="2013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11206</xdr:colOff>
          <xdr:row>195</xdr:row>
          <xdr:rowOff>174270</xdr:rowOff>
        </xdr:from>
        <xdr:to>
          <xdr:col>7</xdr:col>
          <xdr:colOff>863026</xdr:colOff>
          <xdr:row>200</xdr:row>
          <xdr:rowOff>169628</xdr:rowOff>
        </xdr:to>
        <xdr:pic>
          <xdr:nvPicPr>
            <xdr:cNvPr id="31" name="Obrázek 30">
              <a:extLst>
                <a:ext uri="{FF2B5EF4-FFF2-40B4-BE49-F238E27FC236}">
                  <a16:creationId xmlns:a16="http://schemas.microsoft.com/office/drawing/2014/main" id="{5FC695EC-A4EC-F645-90B8-0CAD51B6DF49}"/>
                </a:ext>
              </a:extLst>
            </xdr:cNvPr>
            <xdr:cNvPicPr>
              <a:picLocks noChangeAspect="1" noChangeArrowheads="1"/>
              <a:extLst>
                <a:ext uri="{84589F7E-364E-4C9E-8A38-B11213B215E9}">
                  <a14:cameraTool cellRange="$B$25:$K$31" spid="_x0000_s15880"/>
                </a:ext>
              </a:extLst>
            </xdr:cNvPicPr>
          </xdr:nvPicPr>
          <xdr:blipFill>
            <a:blip xmlns:r="http://schemas.openxmlformats.org/officeDocument/2006/relationships" r:embed="rId5"/>
            <a:srcRect/>
            <a:stretch>
              <a:fillRect/>
            </a:stretch>
          </xdr:blipFill>
          <xdr:spPr bwMode="auto">
            <a:xfrm>
              <a:off x="11206" y="43599987"/>
              <a:ext cx="7565519" cy="9478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74862</xdr:colOff>
          <xdr:row>201</xdr:row>
          <xdr:rowOff>112059</xdr:rowOff>
        </xdr:from>
        <xdr:to>
          <xdr:col>6</xdr:col>
          <xdr:colOff>1476701</xdr:colOff>
          <xdr:row>216</xdr:row>
          <xdr:rowOff>6177</xdr:rowOff>
        </xdr:to>
        <xdr:pic>
          <xdr:nvPicPr>
            <xdr:cNvPr id="32" name="Obrázek 31">
              <a:extLst>
                <a:ext uri="{FF2B5EF4-FFF2-40B4-BE49-F238E27FC236}">
                  <a16:creationId xmlns:a16="http://schemas.microsoft.com/office/drawing/2014/main" id="{5D8B1723-F16E-FFBA-C12D-8E07AAC350A2}"/>
                </a:ext>
              </a:extLst>
            </xdr:cNvPr>
            <xdr:cNvPicPr>
              <a:picLocks noChangeAspect="1" noChangeArrowheads="1"/>
              <a:extLst>
                <a:ext uri="{84589F7E-364E-4C9E-8A38-B11213B215E9}">
                  <a14:cameraTool cellRange="$A$46:$L$69" spid="_x0000_s15881"/>
                </a:ext>
              </a:extLst>
            </xdr:cNvPicPr>
          </xdr:nvPicPr>
          <xdr:blipFill>
            <a:blip xmlns:r="http://schemas.openxmlformats.org/officeDocument/2006/relationships" r:embed="rId6"/>
            <a:srcRect/>
            <a:stretch>
              <a:fillRect/>
            </a:stretch>
          </xdr:blipFill>
          <xdr:spPr bwMode="auto">
            <a:xfrm>
              <a:off x="74862" y="44655441"/>
              <a:ext cx="6428051" cy="275161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216</xdr:row>
          <xdr:rowOff>179294</xdr:rowOff>
        </xdr:from>
        <xdr:to>
          <xdr:col>5</xdr:col>
          <xdr:colOff>1125568</xdr:colOff>
          <xdr:row>235</xdr:row>
          <xdr:rowOff>133582</xdr:rowOff>
        </xdr:to>
        <xdr:pic>
          <xdr:nvPicPr>
            <xdr:cNvPr id="33" name="Obrázek 32">
              <a:extLst>
                <a:ext uri="{FF2B5EF4-FFF2-40B4-BE49-F238E27FC236}">
                  <a16:creationId xmlns:a16="http://schemas.microsoft.com/office/drawing/2014/main" id="{3A6032AB-7D7C-01B7-5384-815903F12E28}"/>
                </a:ext>
              </a:extLst>
            </xdr:cNvPr>
            <xdr:cNvPicPr>
              <a:picLocks noChangeAspect="1" noChangeArrowheads="1"/>
              <a:extLst>
                <a:ext uri="{84589F7E-364E-4C9E-8A38-B11213B215E9}">
                  <a14:cameraTool cellRange="$B$74:$I$101" spid="_x0000_s15882"/>
                </a:ext>
              </a:extLst>
            </xdr:cNvPicPr>
          </xdr:nvPicPr>
          <xdr:blipFill>
            <a:blip xmlns:r="http://schemas.openxmlformats.org/officeDocument/2006/relationships" r:embed="rId7"/>
            <a:srcRect/>
            <a:stretch>
              <a:fillRect/>
            </a:stretch>
          </xdr:blipFill>
          <xdr:spPr bwMode="auto">
            <a:xfrm>
              <a:off x="0" y="47580176"/>
              <a:ext cx="4919382" cy="35737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250167</xdr:colOff>
          <xdr:row>216</xdr:row>
          <xdr:rowOff>179296</xdr:rowOff>
        </xdr:from>
        <xdr:to>
          <xdr:col>8</xdr:col>
          <xdr:colOff>89649</xdr:colOff>
          <xdr:row>235</xdr:row>
          <xdr:rowOff>145677</xdr:rowOff>
        </xdr:to>
        <xdr:pic>
          <xdr:nvPicPr>
            <xdr:cNvPr id="34" name="Obrázek 33">
              <a:extLst>
                <a:ext uri="{FF2B5EF4-FFF2-40B4-BE49-F238E27FC236}">
                  <a16:creationId xmlns:a16="http://schemas.microsoft.com/office/drawing/2014/main" id="{487E8F09-8EAD-241A-42AD-21550EC699D9}"/>
                </a:ext>
              </a:extLst>
            </xdr:cNvPr>
            <xdr:cNvPicPr>
              <a:picLocks noChangeAspect="1" noChangeArrowheads="1"/>
              <a:extLst>
                <a:ext uri="{84589F7E-364E-4C9E-8A38-B11213B215E9}">
                  <a14:cameraTool cellRange="$J$74:$Q$101" spid="_x0000_s15883"/>
                </a:ext>
              </a:extLst>
            </xdr:cNvPicPr>
          </xdr:nvPicPr>
          <xdr:blipFill>
            <a:blip xmlns:r="http://schemas.openxmlformats.org/officeDocument/2006/relationships" r:embed="rId8"/>
            <a:srcRect/>
            <a:stretch>
              <a:fillRect/>
            </a:stretch>
          </xdr:blipFill>
          <xdr:spPr bwMode="auto">
            <a:xfrm>
              <a:off x="3858461" y="47580178"/>
              <a:ext cx="3851187" cy="35858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247</xdr:row>
          <xdr:rowOff>156881</xdr:rowOff>
        </xdr:from>
        <xdr:to>
          <xdr:col>5</xdr:col>
          <xdr:colOff>1136774</xdr:colOff>
          <xdr:row>266</xdr:row>
          <xdr:rowOff>157979</xdr:rowOff>
        </xdr:to>
        <xdr:pic>
          <xdr:nvPicPr>
            <xdr:cNvPr id="35" name="Obrázek 34">
              <a:extLst>
                <a:ext uri="{FF2B5EF4-FFF2-40B4-BE49-F238E27FC236}">
                  <a16:creationId xmlns:a16="http://schemas.microsoft.com/office/drawing/2014/main" id="{0F674059-FBC1-2665-EAD3-159DB79E31D8}"/>
                </a:ext>
              </a:extLst>
            </xdr:cNvPr>
            <xdr:cNvPicPr>
              <a:picLocks noChangeAspect="1" noChangeArrowheads="1"/>
              <a:extLst>
                <a:ext uri="{84589F7E-364E-4C9E-8A38-B11213B215E9}">
                  <a14:cameraTool cellRange="$B$104:$I$131" spid="_x0000_s15884"/>
                </a:ext>
              </a:extLst>
            </xdr:cNvPicPr>
          </xdr:nvPicPr>
          <xdr:blipFill>
            <a:blip xmlns:r="http://schemas.openxmlformats.org/officeDocument/2006/relationships" r:embed="rId9"/>
            <a:srcRect/>
            <a:stretch>
              <a:fillRect/>
            </a:stretch>
          </xdr:blipFill>
          <xdr:spPr bwMode="auto">
            <a:xfrm>
              <a:off x="0" y="53463263"/>
              <a:ext cx="4930588" cy="36205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246533</xdr:colOff>
          <xdr:row>247</xdr:row>
          <xdr:rowOff>168090</xdr:rowOff>
        </xdr:from>
        <xdr:to>
          <xdr:col>8</xdr:col>
          <xdr:colOff>78445</xdr:colOff>
          <xdr:row>266</xdr:row>
          <xdr:rowOff>166061</xdr:rowOff>
        </xdr:to>
        <xdr:pic>
          <xdr:nvPicPr>
            <xdr:cNvPr id="36" name="Obrázek 35">
              <a:extLst>
                <a:ext uri="{FF2B5EF4-FFF2-40B4-BE49-F238E27FC236}">
                  <a16:creationId xmlns:a16="http://schemas.microsoft.com/office/drawing/2014/main" id="{F57F06B7-CBEA-DF40-E09C-0223292B1FC1}"/>
                </a:ext>
              </a:extLst>
            </xdr:cNvPr>
            <xdr:cNvPicPr>
              <a:picLocks noChangeAspect="1" noChangeArrowheads="1"/>
              <a:extLst>
                <a:ext uri="{84589F7E-364E-4C9E-8A38-B11213B215E9}">
                  <a14:cameraTool cellRange="$J$104:$Q$131" spid="_x0000_s15885"/>
                </a:ext>
              </a:extLst>
            </xdr:cNvPicPr>
          </xdr:nvPicPr>
          <xdr:blipFill>
            <a:blip xmlns:r="http://schemas.openxmlformats.org/officeDocument/2006/relationships" r:embed="rId10"/>
            <a:srcRect/>
            <a:stretch>
              <a:fillRect/>
            </a:stretch>
          </xdr:blipFill>
          <xdr:spPr bwMode="auto">
            <a:xfrm>
              <a:off x="3854827" y="53474472"/>
              <a:ext cx="3843617" cy="361747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33619</xdr:rowOff>
        </xdr:from>
        <xdr:to>
          <xdr:col>5</xdr:col>
          <xdr:colOff>1136773</xdr:colOff>
          <xdr:row>297</xdr:row>
          <xdr:rowOff>29883</xdr:rowOff>
        </xdr:to>
        <xdr:pic>
          <xdr:nvPicPr>
            <xdr:cNvPr id="37" name="Obrázek 36">
              <a:extLst>
                <a:ext uri="{FF2B5EF4-FFF2-40B4-BE49-F238E27FC236}">
                  <a16:creationId xmlns:a16="http://schemas.microsoft.com/office/drawing/2014/main" id="{7228B8EB-4D5F-FC7D-BD77-BE767B3EC86F}"/>
                </a:ext>
              </a:extLst>
            </xdr:cNvPr>
            <xdr:cNvPicPr>
              <a:picLocks noChangeAspect="1" noChangeArrowheads="1"/>
              <a:extLst>
                <a:ext uri="{84589F7E-364E-4C9E-8A38-B11213B215E9}">
                  <a14:cameraTool cellRange="$B$135:$I$162" spid="_x0000_s15886"/>
                </a:ext>
              </a:extLst>
            </xdr:cNvPicPr>
          </xdr:nvPicPr>
          <xdr:blipFill>
            <a:blip xmlns:r="http://schemas.openxmlformats.org/officeDocument/2006/relationships" r:embed="rId11"/>
            <a:srcRect/>
            <a:stretch>
              <a:fillRect/>
            </a:stretch>
          </xdr:blipFill>
          <xdr:spPr bwMode="auto">
            <a:xfrm>
              <a:off x="0" y="59245501"/>
              <a:ext cx="4930587" cy="361576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4</v>
  </rv>
  <rv s="0">
    <v>1</v>
    <v>5</v>
  </rv>
  <rv s="0">
    <v>2</v>
    <v>5</v>
  </rv>
  <rv s="0">
    <v>3</v>
    <v>5</v>
  </rv>
  <rv s="0">
    <v>4</v>
    <v>5</v>
  </rv>
  <rv s="0">
    <v>0</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hyperlink" Target="mailto:export@demos-trade.com" TargetMode="External"/><Relationship Id="rId2" Type="http://schemas.openxmlformats.org/officeDocument/2006/relationships/hyperlink" Target="mailto:objednavky@demos-trade.com" TargetMode="External"/><Relationship Id="rId1" Type="http://schemas.openxmlformats.org/officeDocument/2006/relationships/hyperlink" Target="mailto:objednavky@demos-trade.com" TargetMode="External"/><Relationship Id="rId6" Type="http://schemas.openxmlformats.org/officeDocument/2006/relationships/hyperlink" Target="mailto:export@demos-trade.com" TargetMode="External"/><Relationship Id="rId5" Type="http://schemas.openxmlformats.org/officeDocument/2006/relationships/hyperlink" Target="mailto:export@demos-trade.com" TargetMode="External"/><Relationship Id="rId4" Type="http://schemas.openxmlformats.org/officeDocument/2006/relationships/hyperlink" Target="mailto:export@demos-trade.co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1F3B-9C81-4A8D-B597-0CE1ABE673E7}">
  <sheetPr codeName="List1"/>
  <dimension ref="A1:M29"/>
  <sheetViews>
    <sheetView showGridLines="0" showRowColHeaders="0" tabSelected="1" zoomScaleNormal="100" workbookViewId="0">
      <selection activeCell="L2" sqref="L2:M2"/>
    </sheetView>
  </sheetViews>
  <sheetFormatPr defaultColWidth="0" defaultRowHeight="14.4" zeroHeight="1"/>
  <cols>
    <col min="1" max="1" width="9.109375" customWidth="1"/>
    <col min="2" max="2" width="9.6640625" customWidth="1"/>
    <col min="3" max="3" width="10.6640625" customWidth="1"/>
    <col min="4" max="4" width="8.88671875" customWidth="1"/>
    <col min="5" max="11" width="9.109375" customWidth="1"/>
    <col min="12" max="12" width="16.6640625" customWidth="1"/>
    <col min="13" max="13" width="9.109375" customWidth="1"/>
    <col min="14" max="16384" width="9.109375" hidden="1"/>
  </cols>
  <sheetData>
    <row r="1" spans="1:13" ht="15.75" customHeight="1"/>
    <row r="2" spans="1:13" ht="25.5" customHeight="1">
      <c r="A2" s="34"/>
      <c r="B2" s="34"/>
      <c r="C2" s="34"/>
      <c r="D2" s="34"/>
      <c r="E2" s="34"/>
      <c r="F2" s="34"/>
      <c r="G2" s="34"/>
      <c r="H2" s="34"/>
      <c r="I2" s="34"/>
      <c r="J2" s="34"/>
      <c r="K2" s="34"/>
      <c r="L2" s="82" t="str">
        <f>Překlady!C8</f>
        <v>Dále</v>
      </c>
      <c r="M2" s="82"/>
    </row>
    <row r="3" spans="1:13"/>
    <row r="4" spans="1:13"/>
    <row r="5" spans="1:13"/>
    <row r="6" spans="1:13"/>
    <row r="7" spans="1:13"/>
    <row r="8" spans="1:13"/>
    <row r="9" spans="1:13"/>
    <row r="10" spans="1:13"/>
    <row r="11" spans="1:13"/>
    <row r="12" spans="1:13"/>
    <row r="13" spans="1:13"/>
    <row r="14" spans="1:13" ht="15" customHeight="1">
      <c r="B14" s="9"/>
      <c r="C14" s="9"/>
      <c r="D14" s="9"/>
      <c r="E14" s="9"/>
      <c r="F14" s="9"/>
      <c r="G14" s="9"/>
      <c r="H14" s="9"/>
    </row>
    <row r="15" spans="1:13">
      <c r="B15" s="9"/>
      <c r="C15" s="9"/>
      <c r="D15" s="9"/>
      <c r="E15" s="9"/>
      <c r="F15" s="9"/>
      <c r="G15" s="9"/>
      <c r="H15" s="9"/>
    </row>
    <row r="16" spans="1:13"/>
    <row r="17" spans="1:8"/>
    <row r="18" spans="1:8" ht="47.4">
      <c r="B18" s="32" t="s">
        <v>612</v>
      </c>
    </row>
    <row r="19" spans="1:8"/>
    <row r="20" spans="1:8">
      <c r="B20" s="83" t="str">
        <f>Překlady!C57</f>
        <v>Konfigurátor pro výpočet čel a vrtání zásuvek StrongMax s 18mm dnem</v>
      </c>
      <c r="C20" s="83"/>
      <c r="D20" s="83"/>
      <c r="E20" s="83"/>
      <c r="F20" s="83"/>
      <c r="G20" s="83"/>
      <c r="H20" s="83"/>
    </row>
    <row r="21" spans="1:8">
      <c r="B21" s="83"/>
      <c r="C21" s="83"/>
      <c r="D21" s="83"/>
      <c r="E21" s="83"/>
      <c r="F21" s="83"/>
      <c r="G21" s="83"/>
      <c r="H21" s="83"/>
    </row>
    <row r="22" spans="1:8"/>
    <row r="23" spans="1:8"/>
    <row r="24" spans="1:8"/>
    <row r="25" spans="1:8"/>
    <row r="26" spans="1:8"/>
    <row r="27" spans="1:8"/>
    <row r="28" spans="1:8">
      <c r="A28" t="str">
        <f>Překlady!C48</f>
        <v>Verze 1.00</v>
      </c>
    </row>
    <row r="29" spans="1:8"/>
  </sheetData>
  <sheetProtection algorithmName="SHA-512" hashValue="KrDtusM6noZScC1GPTNqOEFuTZ9CpGX+AZwX5aAAixKwvvF+y32CqgZuuRlqrT+YBqfoba91dKFipQbPXdgqcg==" saltValue="EfKydhHFHExZC0q2Nbcgwg==" spinCount="100000" sheet="1" objects="1" scenarios="1" selectLockedCells="1"/>
  <mergeCells count="2">
    <mergeCell ref="L2:M2"/>
    <mergeCell ref="B20:H21"/>
  </mergeCells>
  <hyperlinks>
    <hyperlink ref="L2:M2" location="Zakaznik!A1" display="Zakaznik!A1" xr:uid="{2CC3D827-5FB9-4535-ACEB-E01843722914}"/>
  </hyperlink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Option Button 1">
              <controlPr defaultSize="0" autoFill="0" autoLine="0" autoPict="0">
                <anchor moveWithCells="1">
                  <from>
                    <xdr:col>1</xdr:col>
                    <xdr:colOff>182880</xdr:colOff>
                    <xdr:row>3</xdr:row>
                    <xdr:rowOff>175260</xdr:rowOff>
                  </from>
                  <to>
                    <xdr:col>1</xdr:col>
                    <xdr:colOff>419100</xdr:colOff>
                    <xdr:row>5</xdr:row>
                    <xdr:rowOff>30480</xdr:rowOff>
                  </to>
                </anchor>
              </controlPr>
            </control>
          </mc:Choice>
        </mc:AlternateContent>
        <mc:AlternateContent xmlns:mc="http://schemas.openxmlformats.org/markup-compatibility/2006">
          <mc:Choice Requires="x14">
            <control shapeId="1026" r:id="rId4" name="Option Button 2">
              <controlPr defaultSize="0" autoFill="0" autoLine="0" autoPict="0">
                <anchor moveWithCells="1">
                  <from>
                    <xdr:col>2</xdr:col>
                    <xdr:colOff>335280</xdr:colOff>
                    <xdr:row>3</xdr:row>
                    <xdr:rowOff>175260</xdr:rowOff>
                  </from>
                  <to>
                    <xdr:col>2</xdr:col>
                    <xdr:colOff>571500</xdr:colOff>
                    <xdr:row>5</xdr:row>
                    <xdr:rowOff>30480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3</xdr:col>
                    <xdr:colOff>464820</xdr:colOff>
                    <xdr:row>3</xdr:row>
                    <xdr:rowOff>175260</xdr:rowOff>
                  </from>
                  <to>
                    <xdr:col>4</xdr:col>
                    <xdr:colOff>99060</xdr:colOff>
                    <xdr:row>5</xdr:row>
                    <xdr:rowOff>30480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4</xdr:col>
                    <xdr:colOff>563880</xdr:colOff>
                    <xdr:row>3</xdr:row>
                    <xdr:rowOff>175260</xdr:rowOff>
                  </from>
                  <to>
                    <xdr:col>5</xdr:col>
                    <xdr:colOff>190500</xdr:colOff>
                    <xdr:row>5</xdr:row>
                    <xdr:rowOff>30480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1</xdr:col>
                    <xdr:colOff>121920</xdr:colOff>
                    <xdr:row>10</xdr:row>
                    <xdr:rowOff>137160</xdr:rowOff>
                  </from>
                  <to>
                    <xdr:col>1</xdr:col>
                    <xdr:colOff>365760</xdr:colOff>
                    <xdr:row>11</xdr:row>
                    <xdr:rowOff>175260</xdr:rowOff>
                  </to>
                </anchor>
              </controlPr>
            </control>
          </mc:Choice>
        </mc:AlternateContent>
        <mc:AlternateContent xmlns:mc="http://schemas.openxmlformats.org/markup-compatibility/2006">
          <mc:Choice Requires="x14">
            <control shapeId="1031" r:id="rId8" name="Option Button 6">
              <controlPr defaultSize="0" autoFill="0" autoLine="0" autoPict="0">
                <anchor moveWithCells="1">
                  <from>
                    <xdr:col>2</xdr:col>
                    <xdr:colOff>297180</xdr:colOff>
                    <xdr:row>10</xdr:row>
                    <xdr:rowOff>114300</xdr:rowOff>
                  </from>
                  <to>
                    <xdr:col>2</xdr:col>
                    <xdr:colOff>533400</xdr:colOff>
                    <xdr:row>11</xdr:row>
                    <xdr:rowOff>160020</xdr:rowOff>
                  </to>
                </anchor>
              </controlPr>
            </control>
          </mc:Choice>
        </mc:AlternateContent>
        <mc:AlternateContent xmlns:mc="http://schemas.openxmlformats.org/markup-compatibility/2006">
          <mc:Choice Requires="x14">
            <control shapeId="1032" r:id="rId9" name="Option Button 7">
              <controlPr defaultSize="0" autoFill="0" autoLine="0" autoPict="0">
                <anchor moveWithCells="1">
                  <from>
                    <xdr:col>3</xdr:col>
                    <xdr:colOff>403860</xdr:colOff>
                    <xdr:row>10</xdr:row>
                    <xdr:rowOff>99060</xdr:rowOff>
                  </from>
                  <to>
                    <xdr:col>4</xdr:col>
                    <xdr:colOff>45720</xdr:colOff>
                    <xdr:row>11</xdr:row>
                    <xdr:rowOff>144780</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4</xdr:col>
                    <xdr:colOff>563880</xdr:colOff>
                    <xdr:row>10</xdr:row>
                    <xdr:rowOff>99060</xdr:rowOff>
                  </from>
                  <to>
                    <xdr:col>5</xdr:col>
                    <xdr:colOff>190500</xdr:colOff>
                    <xdr:row>11</xdr:row>
                    <xdr:rowOff>144780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10FA-CE07-41F0-8979-DADD702782E1}">
  <sheetPr codeName="List10"/>
  <dimension ref="B2:I15"/>
  <sheetViews>
    <sheetView workbookViewId="0">
      <selection activeCell="A5" sqref="A5:XFD5"/>
    </sheetView>
  </sheetViews>
  <sheetFormatPr defaultRowHeight="14.4"/>
  <cols>
    <col min="2" max="2" width="13.33203125" bestFit="1" customWidth="1"/>
  </cols>
  <sheetData>
    <row r="2" spans="2:9">
      <c r="C2" t="s">
        <v>593</v>
      </c>
      <c r="D2" t="s">
        <v>594</v>
      </c>
      <c r="I2">
        <v>155</v>
      </c>
    </row>
    <row r="3" spans="2:9">
      <c r="C3">
        <v>113</v>
      </c>
      <c r="D3">
        <v>144</v>
      </c>
      <c r="F3">
        <v>89</v>
      </c>
      <c r="G3" s="5"/>
      <c r="H3" s="5"/>
      <c r="I3" s="5"/>
    </row>
    <row r="4" spans="2:9">
      <c r="C4">
        <v>145</v>
      </c>
      <c r="D4">
        <v>208</v>
      </c>
      <c r="F4">
        <v>121</v>
      </c>
    </row>
    <row r="5" spans="2:9">
      <c r="C5">
        <v>209</v>
      </c>
      <c r="D5">
        <v>272</v>
      </c>
      <c r="F5">
        <v>185</v>
      </c>
    </row>
    <row r="6" spans="2:9">
      <c r="C6">
        <v>207</v>
      </c>
      <c r="D6">
        <v>272</v>
      </c>
      <c r="E6" t="s">
        <v>595</v>
      </c>
      <c r="F6">
        <v>185</v>
      </c>
    </row>
    <row r="7" spans="2:9">
      <c r="C7">
        <v>273</v>
      </c>
      <c r="F7">
        <v>249</v>
      </c>
    </row>
    <row r="8" spans="2:9">
      <c r="B8" s="5"/>
    </row>
    <row r="9" spans="2:9">
      <c r="B9" s="5"/>
    </row>
    <row r="10" spans="2:9">
      <c r="B10" s="5"/>
    </row>
    <row r="11" spans="2:9">
      <c r="B11" s="5"/>
    </row>
    <row r="12" spans="2:9">
      <c r="B12" s="5"/>
    </row>
    <row r="13" spans="2:9">
      <c r="B13" s="5"/>
    </row>
    <row r="14" spans="2:9">
      <c r="B14" s="5"/>
    </row>
    <row r="15" spans="2:9">
      <c r="B15" s="5"/>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385E-CEBB-48B4-9E94-C99A10C59293}">
  <dimension ref="A1"/>
  <sheetViews>
    <sheetView workbookViewId="0">
      <selection activeCell="L11" sqref="L11"/>
    </sheetView>
  </sheetViews>
  <sheetFormatPr defaultRowHeight="14.4"/>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61BE-7E2F-4ECF-BA77-AC561D5E0F2E}">
  <sheetPr codeName="List8"/>
  <dimension ref="A1:W39"/>
  <sheetViews>
    <sheetView showGridLines="0" showRowColHeaders="0" zoomScale="90" zoomScaleNormal="90" workbookViewId="0">
      <selection activeCell="P30" sqref="P30:P31"/>
    </sheetView>
  </sheetViews>
  <sheetFormatPr defaultColWidth="0" defaultRowHeight="15" customHeight="1" zeroHeight="1"/>
  <cols>
    <col min="1" max="1" width="4" style="7" customWidth="1"/>
    <col min="2" max="3" width="8.88671875" style="7" customWidth="1"/>
    <col min="4" max="4" width="6.6640625" style="7" customWidth="1"/>
    <col min="5" max="11" width="8.88671875" style="7" customWidth="1"/>
    <col min="12" max="12" width="12.5546875" style="7" customWidth="1"/>
    <col min="13" max="13" width="8.88671875" style="7" customWidth="1"/>
    <col min="14" max="14" width="15.109375" style="7" customWidth="1"/>
    <col min="15" max="16" width="8.88671875" style="7" customWidth="1"/>
    <col min="17" max="17" width="6.6640625" style="7" customWidth="1"/>
    <col min="18" max="20" width="8.88671875" style="7" customWidth="1"/>
    <col min="21" max="22" width="8.88671875" style="7" hidden="1" customWidth="1"/>
    <col min="23" max="23" width="17.109375" style="7" hidden="1" customWidth="1"/>
    <col min="24" max="16384" width="8.88671875" style="7" hidden="1"/>
  </cols>
  <sheetData>
    <row r="1" spans="1:23" ht="14.4">
      <c r="A1" s="11"/>
      <c r="B1" s="11"/>
      <c r="C1" s="11"/>
      <c r="D1" s="11"/>
      <c r="E1" s="11"/>
      <c r="F1" s="11"/>
      <c r="G1" s="11"/>
      <c r="H1" s="11"/>
      <c r="I1" s="11"/>
      <c r="J1" s="11"/>
      <c r="K1" s="11"/>
      <c r="L1" s="11"/>
      <c r="M1" s="11"/>
      <c r="N1" s="11"/>
      <c r="O1" s="11"/>
    </row>
    <row r="2" spans="1:23" ht="15" customHeight="1">
      <c r="A2" s="12"/>
      <c r="B2" s="12"/>
      <c r="C2" s="12"/>
      <c r="D2" s="12"/>
      <c r="E2" s="12"/>
      <c r="F2" s="12"/>
      <c r="G2" s="12"/>
      <c r="H2" s="12"/>
      <c r="I2" s="12"/>
      <c r="J2" s="12"/>
      <c r="K2" s="12"/>
      <c r="L2" s="12"/>
      <c r="M2" s="12"/>
      <c r="N2" s="12"/>
      <c r="O2" s="12"/>
      <c r="P2" s="13"/>
      <c r="Q2" s="86" t="str">
        <f>Překlady!C7</f>
        <v>Úvod</v>
      </c>
      <c r="R2" s="82"/>
      <c r="S2" s="82"/>
      <c r="W2" s="7" t="b">
        <f>P30</f>
        <v>0</v>
      </c>
    </row>
    <row r="3" spans="1:23" ht="10.5" customHeight="1">
      <c r="A3" s="12"/>
      <c r="B3" s="12"/>
      <c r="C3" s="12"/>
      <c r="D3" s="12"/>
      <c r="E3" s="12"/>
      <c r="F3" s="12"/>
      <c r="G3" s="12"/>
      <c r="H3" s="12"/>
      <c r="I3" s="12"/>
      <c r="J3" s="12"/>
      <c r="K3" s="12"/>
      <c r="L3" s="12"/>
      <c r="M3" s="12"/>
      <c r="N3" s="12"/>
      <c r="O3" s="12"/>
      <c r="P3" s="13"/>
      <c r="Q3" s="86"/>
      <c r="R3" s="82"/>
      <c r="S3" s="82"/>
    </row>
    <row r="4" spans="1:23" ht="14.4">
      <c r="A4" s="11"/>
      <c r="B4" s="11"/>
      <c r="C4" s="11"/>
      <c r="D4" s="11"/>
      <c r="E4" s="11"/>
      <c r="F4" s="11"/>
      <c r="G4" s="11"/>
      <c r="H4" s="11"/>
      <c r="I4" s="11"/>
    </row>
    <row r="5" spans="1:23" ht="14.4">
      <c r="A5" s="11"/>
      <c r="B5" s="11"/>
      <c r="C5" s="11"/>
      <c r="D5" s="11"/>
      <c r="F5" s="11"/>
      <c r="G5" s="11"/>
    </row>
    <row r="6" spans="1:23" ht="21">
      <c r="C6" s="38" t="str">
        <f>Překlady!C74</f>
        <v>Podmínky a doporučení pro správné objednání</v>
      </c>
      <c r="S6" s="8"/>
    </row>
    <row r="7" spans="1:23" ht="14.4"/>
    <row r="8" spans="1:23" ht="17.25" customHeight="1">
      <c r="C8" s="7" t="str">
        <f>Překlady!C39</f>
        <v>Vždy používejte aktuální verzi formuláře, který je dostupný na našich stánkách.</v>
      </c>
    </row>
    <row r="9" spans="1:23" ht="15" customHeight="1"/>
    <row r="10" spans="1:23" ht="35.4" customHeight="1">
      <c r="C10" s="7" t="str">
        <f>Překlady!C54</f>
        <v xml:space="preserve">Při vyplňování formuláře postupujte vždy shora dolů. Provedete li zpětně změnu, překontrolujte zda jsou následující položky správně. </v>
      </c>
    </row>
    <row r="11" spans="1:23" ht="19.2" customHeight="1">
      <c r="C11" s="116"/>
    </row>
    <row r="12" spans="1:23" ht="53.4" customHeight="1">
      <c r="C12" s="117" t="str">
        <f>Překlady!C50</f>
        <v>Tento formulář slouží pro pomoc při výpočtu výšky čel, vrtání výsuvů a čel. V některých případech výpočty nemusí být přesné a firma Démos Trade neručí za škody způsobené tímto formulářem.</v>
      </c>
      <c r="D12" s="117"/>
      <c r="E12" s="117"/>
      <c r="F12" s="117"/>
      <c r="G12" s="117"/>
      <c r="H12" s="117"/>
      <c r="I12" s="117"/>
      <c r="J12" s="117"/>
      <c r="K12" s="117"/>
      <c r="L12" s="117"/>
      <c r="M12" s="117"/>
      <c r="N12" s="117"/>
      <c r="O12" s="117"/>
      <c r="P12" s="117"/>
      <c r="Q12" s="117"/>
      <c r="R12" s="117"/>
      <c r="S12" s="22"/>
    </row>
    <row r="13" spans="1:23" ht="12.6" customHeight="1"/>
    <row r="14" spans="1:23" ht="17.25" customHeight="1">
      <c r="C14" s="7" t="str">
        <f>Překlady!C55&amp;Překlady!C56</f>
        <v>Vyplněnou objednávku zašlete na adresu: objednavky@demos-trade.com</v>
      </c>
    </row>
    <row r="15" spans="1:23" ht="6.75" customHeight="1"/>
    <row r="16" spans="1:23" ht="17.25" customHeight="1"/>
    <row r="17" spans="2:19" ht="6.75" customHeight="1"/>
    <row r="18" spans="2:19" ht="17.25" customHeight="1"/>
    <row r="19" spans="2:19" ht="17.25" customHeight="1"/>
    <row r="20" spans="2:19" ht="17.25" customHeight="1">
      <c r="D20" s="38" t="str">
        <f>Překlady!C75</f>
        <v>Pro zjednoduššení práce …</v>
      </c>
    </row>
    <row r="21" spans="2:19" ht="17.25" customHeight="1"/>
    <row r="22" spans="2:19" ht="17.25" customHeight="1">
      <c r="C22" s="40">
        <v>396273</v>
      </c>
      <c r="D22" s="7" t="str">
        <f>Karty!B99</f>
        <v>STRONG označovací šablona pro výsuvy nerezová</v>
      </c>
      <c r="L22" s="41">
        <v>179242</v>
      </c>
      <c r="M22" s="7" t="str">
        <f>Karty!B100</f>
        <v>StrongBox označovač čela - sada P+L</v>
      </c>
    </row>
    <row r="23" spans="2:19" ht="18" customHeight="1"/>
    <row r="24" spans="2:19" ht="15" customHeight="1">
      <c r="E24" s="22"/>
      <c r="F24" s="22"/>
      <c r="G24" s="22"/>
      <c r="H24" s="22"/>
      <c r="I24" s="22"/>
      <c r="J24" s="22"/>
      <c r="K24" s="22"/>
      <c r="L24" s="22"/>
      <c r="M24" s="22"/>
      <c r="N24" s="22"/>
      <c r="O24" s="22"/>
      <c r="P24" s="22"/>
    </row>
    <row r="25" spans="2:19" ht="30.75" customHeight="1">
      <c r="E25" s="39"/>
      <c r="F25" s="39"/>
      <c r="G25" s="39"/>
      <c r="H25" s="39"/>
      <c r="I25" s="39"/>
      <c r="J25" s="39"/>
      <c r="K25" s="39"/>
      <c r="L25" s="39"/>
      <c r="M25" s="39"/>
      <c r="N25" s="39"/>
      <c r="O25" s="39"/>
      <c r="P25" s="39"/>
    </row>
    <row r="26" spans="2:19" ht="15" customHeight="1">
      <c r="E26" s="19"/>
      <c r="F26" s="19"/>
      <c r="G26" s="19"/>
      <c r="H26" s="19"/>
      <c r="I26" s="19"/>
      <c r="J26" s="19"/>
      <c r="K26" s="19"/>
      <c r="L26" s="19"/>
      <c r="M26" s="19"/>
      <c r="N26" s="19"/>
      <c r="O26" s="19"/>
      <c r="P26" s="19"/>
    </row>
    <row r="27" spans="2:19" ht="15" customHeight="1">
      <c r="E27" s="19"/>
      <c r="F27" s="19"/>
      <c r="G27" s="19"/>
      <c r="H27" s="19"/>
      <c r="I27" s="19"/>
      <c r="J27" s="19"/>
      <c r="K27" s="19"/>
      <c r="L27" s="19"/>
      <c r="M27" s="19"/>
      <c r="N27" s="19"/>
      <c r="O27" s="19"/>
      <c r="P27" s="19"/>
    </row>
    <row r="28" spans="2:19" ht="15" customHeight="1">
      <c r="E28" s="89"/>
      <c r="F28" s="89"/>
      <c r="G28" s="89"/>
      <c r="H28" s="89"/>
      <c r="I28" s="89"/>
      <c r="J28" s="89"/>
      <c r="K28" s="89"/>
      <c r="L28" s="89"/>
      <c r="M28" s="89"/>
      <c r="N28" s="89"/>
      <c r="O28" s="89"/>
      <c r="P28" s="89"/>
    </row>
    <row r="29" spans="2:19" ht="45" customHeight="1" thickBot="1"/>
    <row r="30" spans="2:19" ht="22.8" customHeight="1">
      <c r="B30" s="84" t="str">
        <f>Překlady!C52</f>
        <v>Zpět</v>
      </c>
      <c r="C30" s="85"/>
      <c r="E30" s="118" t="str">
        <f>Překlady!C51</f>
        <v>Potvrzuji, že rozumím a přijímám výše uvedené podmínky a doporučení.</v>
      </c>
      <c r="F30" s="118"/>
      <c r="G30" s="118"/>
      <c r="H30" s="118"/>
      <c r="I30" s="118"/>
      <c r="J30" s="118"/>
      <c r="K30" s="118"/>
      <c r="L30" s="118"/>
      <c r="M30" s="118"/>
      <c r="N30" s="118"/>
      <c r="O30" s="119"/>
      <c r="P30" s="87" t="b">
        <v>0</v>
      </c>
      <c r="R30" s="84" t="str">
        <f>Překlady!C8</f>
        <v>Dále</v>
      </c>
      <c r="S30" s="85"/>
    </row>
    <row r="31" spans="2:19" ht="22.8" customHeight="1" thickBot="1">
      <c r="B31" s="84"/>
      <c r="C31" s="85"/>
      <c r="E31" s="118"/>
      <c r="F31" s="118"/>
      <c r="G31" s="118"/>
      <c r="H31" s="118"/>
      <c r="I31" s="118"/>
      <c r="J31" s="118"/>
      <c r="K31" s="118"/>
      <c r="L31" s="118"/>
      <c r="M31" s="118"/>
      <c r="N31" s="118"/>
      <c r="O31" s="119"/>
      <c r="P31" s="88"/>
      <c r="R31" s="84"/>
      <c r="S31" s="85"/>
    </row>
    <row r="32" spans="2:19" ht="14.4">
      <c r="E32" s="1"/>
      <c r="F32" s="1"/>
      <c r="G32" s="1"/>
      <c r="H32" s="1"/>
      <c r="I32" s="1"/>
      <c r="J32" s="1"/>
      <c r="K32" s="1"/>
      <c r="L32" s="1"/>
      <c r="M32" s="1"/>
    </row>
    <row r="33" spans="5:16" ht="14.4" hidden="1">
      <c r="F33" s="33"/>
      <c r="G33" s="33"/>
      <c r="H33" s="33"/>
      <c r="I33" s="33"/>
      <c r="J33" s="33"/>
      <c r="K33" s="33"/>
      <c r="L33" s="33"/>
      <c r="M33" s="33"/>
      <c r="N33" s="33"/>
      <c r="O33" s="33"/>
      <c r="P33" s="33"/>
    </row>
    <row r="34" spans="5:16" ht="14.4" hidden="1">
      <c r="E34" s="33"/>
      <c r="F34" s="33"/>
      <c r="G34" s="33"/>
      <c r="H34" s="33"/>
      <c r="I34" s="33"/>
      <c r="J34" s="33"/>
      <c r="K34" s="33"/>
      <c r="L34" s="33"/>
      <c r="M34" s="33"/>
      <c r="N34" s="33"/>
      <c r="O34" s="33"/>
      <c r="P34" s="33"/>
    </row>
    <row r="35" spans="5:16" ht="14.4" hidden="1">
      <c r="E35" s="33"/>
      <c r="F35" s="33"/>
      <c r="G35" s="33"/>
      <c r="H35" s="33"/>
      <c r="I35" s="33"/>
      <c r="J35" s="33"/>
      <c r="K35" s="33"/>
      <c r="L35" s="33"/>
      <c r="M35" s="33"/>
      <c r="N35" s="33"/>
      <c r="O35" s="33"/>
      <c r="P35" s="33"/>
    </row>
    <row r="36" spans="5:16" ht="14.4" hidden="1">
      <c r="E36" s="33"/>
      <c r="F36" s="33"/>
      <c r="G36" s="33"/>
      <c r="H36" s="33"/>
      <c r="I36" s="33"/>
      <c r="J36" s="33"/>
      <c r="K36" s="33"/>
      <c r="L36" s="33"/>
      <c r="M36" s="33"/>
      <c r="N36" s="33"/>
      <c r="O36" s="33"/>
      <c r="P36" s="33"/>
    </row>
    <row r="38" spans="5:16" ht="14.4" hidden="1">
      <c r="E38" s="33"/>
      <c r="F38" s="33"/>
      <c r="G38" s="33"/>
      <c r="H38" s="33"/>
      <c r="I38" s="33"/>
      <c r="J38" s="33"/>
      <c r="K38" s="33"/>
      <c r="L38" s="33"/>
      <c r="M38" s="33"/>
      <c r="N38" s="33"/>
      <c r="O38" s="33"/>
      <c r="P38" s="33"/>
    </row>
    <row r="39" spans="5:16" ht="14.4" hidden="1">
      <c r="E39" s="33"/>
      <c r="F39" s="33"/>
      <c r="G39" s="33"/>
      <c r="H39" s="33"/>
      <c r="I39" s="33"/>
      <c r="J39" s="33"/>
      <c r="K39" s="33"/>
      <c r="L39" s="33"/>
      <c r="M39" s="33"/>
      <c r="N39" s="33"/>
      <c r="O39" s="33"/>
      <c r="P39" s="33"/>
    </row>
  </sheetData>
  <sheetProtection algorithmName="SHA-512" hashValue="4cf7GWpr1tckfGqV4Zyn47cOhv3yy8KstTHpkp5RiBtVo9I3p/Z0QqUfQs1Zvup6KgdRJOklnJOIlasBHwyIgw==" saltValue="XkqXzQbrTz2QpVhAQXFY0Q==" spinCount="100000" sheet="1" objects="1" scenarios="1" selectLockedCells="1"/>
  <mergeCells count="7">
    <mergeCell ref="B30:C31"/>
    <mergeCell ref="Q2:S3"/>
    <mergeCell ref="E30:O31"/>
    <mergeCell ref="P30:P31"/>
    <mergeCell ref="R30:S31"/>
    <mergeCell ref="E28:P28"/>
    <mergeCell ref="C12:R12"/>
  </mergeCells>
  <conditionalFormatting sqref="R30:S31">
    <cfRule type="expression" dxfId="7" priority="1">
      <formula>W2=FALSE</formula>
    </cfRule>
  </conditionalFormatting>
  <hyperlinks>
    <hyperlink ref="B30:C31" location="Úvod!A1" display="Úvod!A1" xr:uid="{498EC4BC-1AC0-4A5F-BEDF-3A655F140DD7}"/>
    <hyperlink ref="R30:S31" location="Menu!A1" display="Menu!A1" xr:uid="{A162A66D-3ED5-4248-9C67-38DBCA874D7E}"/>
    <hyperlink ref="Q2:S3" location="Úvod!A1" display="Úvod!A1" xr:uid="{07E1EDCA-1FF3-4536-9697-6C915C446B23}"/>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967">
              <controlPr locked="0" defaultSize="0" autoFill="0" autoLine="0" autoPict="0">
                <anchor moveWithCells="1">
                  <from>
                    <xdr:col>15</xdr:col>
                    <xdr:colOff>0</xdr:colOff>
                    <xdr:row>0</xdr:row>
                    <xdr:rowOff>0</xdr:rowOff>
                  </from>
                  <to>
                    <xdr:col>15</xdr:col>
                    <xdr:colOff>0</xdr:colOff>
                    <xdr:row>0</xdr:row>
                    <xdr:rowOff>175260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85BD-3FCC-4829-871D-0B1A5390B254}">
  <dimension ref="A1:W39"/>
  <sheetViews>
    <sheetView showGridLines="0" showRowColHeaders="0" zoomScaleNormal="100" workbookViewId="0"/>
  </sheetViews>
  <sheetFormatPr defaultColWidth="0" defaultRowHeight="15" customHeight="1" zeroHeight="1"/>
  <cols>
    <col min="1" max="1" width="4" style="7" customWidth="1"/>
    <col min="2" max="3" width="8.88671875" style="7" customWidth="1"/>
    <col min="4" max="4" width="13.77734375" style="7" customWidth="1"/>
    <col min="5" max="5" width="12" style="7" customWidth="1"/>
    <col min="6" max="9" width="8.88671875" style="7" customWidth="1"/>
    <col min="10" max="10" width="10.5546875" style="7" customWidth="1"/>
    <col min="11" max="13" width="8.88671875" style="7" customWidth="1"/>
    <col min="14" max="14" width="15.109375" style="7" customWidth="1"/>
    <col min="15" max="16" width="8.88671875" style="7" customWidth="1"/>
    <col min="17" max="17" width="6.6640625" style="7" customWidth="1"/>
    <col min="18" max="20" width="8.88671875" style="7" customWidth="1"/>
    <col min="21" max="22" width="8.88671875" style="7" hidden="1" customWidth="1"/>
    <col min="23" max="23" width="17.109375" style="7" hidden="1" customWidth="1"/>
    <col min="24" max="16384" width="8.88671875" style="7" hidden="1"/>
  </cols>
  <sheetData>
    <row r="1" spans="1:20" ht="14.4">
      <c r="A1" s="11"/>
      <c r="B1" s="11"/>
      <c r="C1" s="11"/>
      <c r="D1" s="11"/>
      <c r="E1" s="11"/>
      <c r="F1" s="11"/>
      <c r="G1" s="11"/>
      <c r="H1" s="11"/>
      <c r="I1" s="11"/>
      <c r="J1" s="11"/>
      <c r="K1" s="11"/>
      <c r="L1" s="11"/>
      <c r="M1" s="11"/>
      <c r="N1" s="11"/>
      <c r="O1" s="11"/>
    </row>
    <row r="2" spans="1:20" ht="14.4">
      <c r="A2" s="12"/>
      <c r="B2" s="12"/>
      <c r="C2" s="12"/>
      <c r="D2" s="12"/>
      <c r="E2" s="12"/>
      <c r="F2" s="12"/>
      <c r="G2" s="12"/>
      <c r="H2" s="12"/>
      <c r="I2" s="12"/>
      <c r="J2" s="12"/>
      <c r="K2" s="12"/>
      <c r="L2" s="12"/>
      <c r="M2" s="12"/>
      <c r="N2" s="12"/>
      <c r="O2" s="12"/>
      <c r="P2" s="13"/>
      <c r="Q2" s="86" t="str">
        <f>Překlady!C7</f>
        <v>Úvod</v>
      </c>
      <c r="R2" s="82"/>
      <c r="S2" s="82"/>
      <c r="T2" s="82"/>
    </row>
    <row r="3" spans="1:20" ht="10.5" customHeight="1">
      <c r="A3" s="12"/>
      <c r="B3" s="12"/>
      <c r="C3" s="12"/>
      <c r="D3" s="12"/>
      <c r="E3" s="12"/>
      <c r="F3" s="12"/>
      <c r="G3" s="12"/>
      <c r="H3" s="12"/>
      <c r="I3" s="12"/>
      <c r="J3" s="12"/>
      <c r="K3" s="12"/>
      <c r="L3" s="12"/>
      <c r="M3" s="12"/>
      <c r="N3" s="12"/>
      <c r="O3" s="12"/>
      <c r="P3" s="13"/>
      <c r="Q3" s="86"/>
      <c r="R3" s="82"/>
      <c r="S3" s="82"/>
      <c r="T3" s="82"/>
    </row>
    <row r="4" spans="1:20" ht="14.4"/>
    <row r="5" spans="1:20" ht="14.4"/>
    <row r="6" spans="1:20" ht="14.4"/>
    <row r="7" spans="1:20" ht="14.4">
      <c r="E7" s="15"/>
    </row>
    <row r="8" spans="1:20" ht="16.5" customHeight="1">
      <c r="C8" s="84" t="str">
        <f>Překlady!C5</f>
        <v>Zásuvky s čílkem</v>
      </c>
      <c r="D8" s="85"/>
      <c r="E8" s="85"/>
      <c r="I8" s="91" t="str">
        <f>Překlady!C6</f>
        <v>Vnitřní zásuvky</v>
      </c>
      <c r="J8" s="92"/>
      <c r="K8" s="92"/>
    </row>
    <row r="9" spans="1:20" ht="15" customHeight="1">
      <c r="C9" s="84"/>
      <c r="D9" s="85"/>
      <c r="E9" s="85"/>
      <c r="I9" s="91"/>
      <c r="J9" s="92"/>
      <c r="K9" s="92"/>
    </row>
    <row r="10" spans="1:20" ht="15" customHeight="1"/>
    <row r="11" spans="1:20" ht="15" customHeight="1"/>
    <row r="12" spans="1:20" ht="15" customHeight="1"/>
    <row r="13" spans="1:20" ht="15" customHeight="1"/>
    <row r="14" spans="1:20" ht="15" customHeight="1"/>
    <row r="15" spans="1:20" ht="15" customHeight="1"/>
    <row r="16" spans="1:20" ht="15" customHeight="1"/>
    <row r="17" spans="2:16" ht="15" customHeight="1"/>
    <row r="18" spans="2:16" ht="15" customHeight="1"/>
    <row r="19" spans="2:16" ht="15" customHeight="1"/>
    <row r="20" spans="2:16" ht="15" customHeight="1"/>
    <row r="21" spans="2:16" ht="15" customHeight="1"/>
    <row r="22" spans="2:16" ht="15" customHeight="1"/>
    <row r="23" spans="2:16" ht="15" customHeight="1"/>
    <row r="24" spans="2:16" ht="15" customHeight="1">
      <c r="E24" s="22"/>
      <c r="F24" s="22"/>
      <c r="G24" s="22"/>
      <c r="H24" s="22"/>
      <c r="I24" s="22"/>
      <c r="J24" s="22"/>
      <c r="K24" s="22"/>
      <c r="L24" s="22"/>
      <c r="M24" s="22"/>
      <c r="N24" s="22"/>
      <c r="O24" s="22"/>
      <c r="P24" s="22"/>
    </row>
    <row r="25" spans="2:16" ht="15" customHeight="1">
      <c r="E25" s="22"/>
      <c r="F25" s="22"/>
      <c r="G25" s="22"/>
      <c r="H25" s="22"/>
      <c r="I25" s="22"/>
      <c r="J25" s="22"/>
      <c r="K25" s="22"/>
      <c r="L25" s="22"/>
      <c r="M25" s="22"/>
      <c r="N25" s="22"/>
      <c r="O25" s="22"/>
      <c r="P25" s="22"/>
    </row>
    <row r="26" spans="2:16" ht="15" customHeight="1">
      <c r="E26" s="19"/>
      <c r="F26" s="19"/>
      <c r="G26" s="19"/>
      <c r="H26" s="19"/>
      <c r="I26" s="19"/>
      <c r="J26" s="19"/>
      <c r="K26" s="19"/>
      <c r="L26" s="19"/>
      <c r="M26" s="19"/>
      <c r="N26" s="19"/>
      <c r="O26" s="19"/>
      <c r="P26" s="19"/>
    </row>
    <row r="27" spans="2:16" ht="15" customHeight="1">
      <c r="E27" s="19"/>
      <c r="F27" s="19"/>
      <c r="G27" s="19"/>
      <c r="H27" s="19"/>
      <c r="I27" s="19"/>
      <c r="J27" s="19"/>
      <c r="K27" s="19"/>
      <c r="L27" s="19"/>
      <c r="M27" s="19"/>
      <c r="N27" s="19"/>
      <c r="O27" s="19"/>
      <c r="P27" s="19"/>
    </row>
    <row r="28" spans="2:16" ht="15" customHeight="1">
      <c r="E28" s="21"/>
      <c r="F28" s="21"/>
      <c r="G28" s="21"/>
      <c r="H28" s="21"/>
      <c r="I28" s="21"/>
      <c r="J28" s="21"/>
      <c r="K28" s="21"/>
      <c r="L28" s="21"/>
      <c r="M28" s="21"/>
      <c r="N28" s="21"/>
      <c r="O28" s="21"/>
      <c r="P28" s="21"/>
    </row>
    <row r="29" spans="2:16" ht="14.4"/>
    <row r="30" spans="2:16" ht="15.75" customHeight="1">
      <c r="B30" s="93" t="str">
        <f>Překlady!C52</f>
        <v>Zpět</v>
      </c>
      <c r="C30" s="94"/>
      <c r="E30" s="20"/>
      <c r="F30" s="20"/>
      <c r="G30" s="20"/>
      <c r="H30" s="20"/>
      <c r="I30" s="20"/>
      <c r="J30" s="20"/>
      <c r="K30" s="20"/>
      <c r="L30" s="20"/>
      <c r="M30" s="20"/>
      <c r="N30" s="20"/>
      <c r="O30" s="20"/>
    </row>
    <row r="31" spans="2:16" ht="15.75" customHeight="1">
      <c r="B31" s="93"/>
      <c r="C31" s="94"/>
      <c r="E31" s="20"/>
      <c r="F31" s="20"/>
      <c r="G31" s="20"/>
      <c r="H31" s="20"/>
      <c r="I31" s="20"/>
      <c r="J31" s="20"/>
      <c r="K31" s="20"/>
      <c r="L31" s="20"/>
      <c r="M31" s="20"/>
      <c r="N31" s="20"/>
      <c r="O31" s="20"/>
    </row>
    <row r="32" spans="2:16" ht="14.4">
      <c r="E32" s="1"/>
      <c r="F32" s="1"/>
      <c r="G32" s="1"/>
      <c r="H32" s="1"/>
      <c r="I32" s="1"/>
      <c r="J32" s="1"/>
      <c r="K32" s="1"/>
      <c r="L32" s="1"/>
      <c r="M32" s="1"/>
    </row>
    <row r="33" spans="5:16" ht="14.4" hidden="1">
      <c r="E33" s="90"/>
      <c r="F33" s="90"/>
      <c r="G33" s="90"/>
      <c r="H33" s="90"/>
      <c r="I33" s="90"/>
      <c r="J33" s="90"/>
      <c r="K33" s="90"/>
      <c r="L33" s="90"/>
      <c r="M33" s="90"/>
      <c r="N33" s="90"/>
      <c r="O33" s="90"/>
      <c r="P33" s="90"/>
    </row>
    <row r="34" spans="5:16" ht="14.4" hidden="1">
      <c r="E34" s="90"/>
      <c r="F34" s="90"/>
      <c r="G34" s="90"/>
      <c r="H34" s="90"/>
      <c r="I34" s="90"/>
      <c r="J34" s="90"/>
      <c r="K34" s="90"/>
      <c r="L34" s="90"/>
      <c r="M34" s="90"/>
      <c r="N34" s="90"/>
      <c r="O34" s="90"/>
      <c r="P34" s="90"/>
    </row>
    <row r="35" spans="5:16" ht="14.4" hidden="1">
      <c r="E35" s="90"/>
      <c r="F35" s="90"/>
      <c r="G35" s="90"/>
      <c r="H35" s="90"/>
      <c r="I35" s="90"/>
      <c r="J35" s="90"/>
      <c r="K35" s="90"/>
      <c r="L35" s="90"/>
      <c r="M35" s="90"/>
      <c r="N35" s="90"/>
      <c r="O35" s="90"/>
      <c r="P35" s="90"/>
    </row>
    <row r="36" spans="5:16" ht="14.4" hidden="1">
      <c r="E36" s="90"/>
      <c r="F36" s="90"/>
      <c r="G36" s="90"/>
      <c r="H36" s="90"/>
      <c r="I36" s="90"/>
      <c r="J36" s="90"/>
      <c r="K36" s="90"/>
      <c r="L36" s="90"/>
      <c r="M36" s="90"/>
      <c r="N36" s="90"/>
      <c r="O36" s="90"/>
      <c r="P36" s="90"/>
    </row>
    <row r="38" spans="5:16" ht="14.4" hidden="1">
      <c r="E38" s="90"/>
      <c r="F38" s="90"/>
      <c r="G38" s="90"/>
      <c r="H38" s="90"/>
      <c r="I38" s="90"/>
      <c r="J38" s="90"/>
      <c r="K38" s="90"/>
      <c r="L38" s="90"/>
      <c r="M38" s="90"/>
      <c r="N38" s="90"/>
      <c r="O38" s="90"/>
      <c r="P38" s="90"/>
    </row>
    <row r="39" spans="5:16" ht="14.4" hidden="1">
      <c r="E39" s="90"/>
      <c r="F39" s="90"/>
      <c r="G39" s="90"/>
      <c r="H39" s="90"/>
      <c r="I39" s="90"/>
      <c r="J39" s="90"/>
      <c r="K39" s="90"/>
      <c r="L39" s="90"/>
      <c r="M39" s="90"/>
      <c r="N39" s="90"/>
      <c r="O39" s="90"/>
      <c r="P39" s="90"/>
    </row>
  </sheetData>
  <sheetProtection selectLockedCells="1"/>
  <mergeCells count="9">
    <mergeCell ref="Q2:T3"/>
    <mergeCell ref="E35:P35"/>
    <mergeCell ref="E36:P36"/>
    <mergeCell ref="E38:P39"/>
    <mergeCell ref="C8:E9"/>
    <mergeCell ref="I8:K9"/>
    <mergeCell ref="B30:C31"/>
    <mergeCell ref="E33:P33"/>
    <mergeCell ref="E34:P34"/>
  </mergeCells>
  <conditionalFormatting sqref="R30:S31">
    <cfRule type="expression" priority="1">
      <formula>W2=NERAVDA</formula>
    </cfRule>
  </conditionalFormatting>
  <hyperlinks>
    <hyperlink ref="B30:C31" location="Zakaznik!A1" display="Zakaznik!A1" xr:uid="{B49B7CA8-DF95-44CF-B80F-AA3CA38FAD0A}"/>
    <hyperlink ref="Q2:T3" location="Úvod!A1" display="Úvod!A1" xr:uid="{1F6F60C0-B133-408F-ABD2-D9B991CC317A}"/>
    <hyperlink ref="C8:E9" location="čelo!A1" display="čelo!A1" xr:uid="{6F5180D4-5193-42F1-BAE7-75BB90697C3F}"/>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967">
              <controlPr locked="0" defaultSize="0" autoFill="0" autoLine="0" autoPict="0">
                <anchor moveWithCells="1">
                  <from>
                    <xdr:col>15</xdr:col>
                    <xdr:colOff>0</xdr:colOff>
                    <xdr:row>0</xdr:row>
                    <xdr:rowOff>0</xdr:rowOff>
                  </from>
                  <to>
                    <xdr:col>15</xdr:col>
                    <xdr:colOff>0</xdr:colOff>
                    <xdr:row>0</xdr:row>
                    <xdr:rowOff>175260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594F-36FA-4A55-A876-2980C28532F8}">
  <sheetPr codeName="List3"/>
  <dimension ref="B1:K76"/>
  <sheetViews>
    <sheetView topLeftCell="A30" workbookViewId="0">
      <selection activeCell="E38" sqref="E38"/>
    </sheetView>
  </sheetViews>
  <sheetFormatPr defaultRowHeight="14.4"/>
  <cols>
    <col min="2" max="2" width="15.33203125" customWidth="1"/>
    <col min="3" max="3" width="23.33203125" customWidth="1"/>
    <col min="4" max="4" width="31.33203125" bestFit="1" customWidth="1"/>
    <col min="5" max="5" width="18" customWidth="1"/>
    <col min="6" max="6" width="26.6640625" customWidth="1"/>
    <col min="7" max="7" width="30.88671875" customWidth="1"/>
    <col min="8" max="8" width="15.88671875" customWidth="1"/>
    <col min="9" max="9" width="20.6640625" customWidth="1"/>
    <col min="10" max="10" width="15.109375" customWidth="1"/>
    <col min="11" max="11" width="18" customWidth="1"/>
  </cols>
  <sheetData>
    <row r="1" spans="2:11">
      <c r="B1" t="s">
        <v>688</v>
      </c>
      <c r="C1" t="s">
        <v>687</v>
      </c>
      <c r="D1">
        <v>1</v>
      </c>
    </row>
    <row r="2" spans="2:11">
      <c r="D2" t="s">
        <v>0</v>
      </c>
      <c r="E2" t="s">
        <v>1</v>
      </c>
      <c r="F2" t="s">
        <v>2</v>
      </c>
      <c r="G2" t="s">
        <v>3</v>
      </c>
      <c r="H2" t="s">
        <v>4</v>
      </c>
      <c r="I2" t="s">
        <v>772</v>
      </c>
      <c r="J2" t="s">
        <v>773</v>
      </c>
      <c r="K2" t="s">
        <v>1041</v>
      </c>
    </row>
    <row r="3" spans="2:11">
      <c r="C3" t="str">
        <f>IF($D$1=1,D:D,IF($D$1=2,E:E,IF($D$1=3,F:F,IF($D$1=4,G:G,IF($D$1=5,H:H,IF($D$1=6,I:I,IF($D$1=7,J:J,IF($D$1=8,K:K,"zvol jazyk"))))))))</f>
        <v>česky</v>
      </c>
      <c r="D3" t="s">
        <v>5</v>
      </c>
      <c r="E3" t="s">
        <v>6</v>
      </c>
      <c r="F3" t="s">
        <v>7</v>
      </c>
      <c r="G3" t="s">
        <v>8</v>
      </c>
      <c r="H3" t="s">
        <v>9</v>
      </c>
      <c r="I3" t="s">
        <v>1117</v>
      </c>
      <c r="J3" t="s">
        <v>1118</v>
      </c>
      <c r="K3" t="s">
        <v>1119</v>
      </c>
    </row>
    <row r="5" spans="2:11" ht="28.8">
      <c r="C5" t="str">
        <f>IF($D$1=1,D:D,IF($D$1=2,E:E,IF($D$1=3,F:F,IF($D$1=4,G:G,IF($D$1=5,H:H,IF($D$1=6,I:I,IF($D$1=7,J:J,IF($D$1=8,K:K,"zvol jazyk"))))))))</f>
        <v>Zásuvky s čílkem</v>
      </c>
      <c r="D5" t="s">
        <v>690</v>
      </c>
      <c r="E5" t="s">
        <v>11</v>
      </c>
      <c r="F5" s="42" t="s">
        <v>721</v>
      </c>
      <c r="G5" t="s">
        <v>774</v>
      </c>
      <c r="H5" s="9" t="s">
        <v>853</v>
      </c>
      <c r="I5" s="9" t="s">
        <v>854</v>
      </c>
      <c r="J5" s="9" t="s">
        <v>977</v>
      </c>
      <c r="K5" s="9" t="s">
        <v>1042</v>
      </c>
    </row>
    <row r="6" spans="2:11" ht="28.8">
      <c r="C6" t="str">
        <f t="shared" ref="C6:C69" si="0">IF($D$1=1,D:D,IF($D$1=2,E:E,IF($D$1=3,F:F,IF($D$1=4,G:G,IF($D$1=5,H:H,IF($D$1=6,I:I,IF($D$1=7,J:J,IF($D$1=8,K:K,"zvol jazyk"))))))))</f>
        <v>Vnitřní zásuvky</v>
      </c>
      <c r="D6" t="s">
        <v>13</v>
      </c>
      <c r="E6" t="s">
        <v>12</v>
      </c>
      <c r="F6" t="s">
        <v>722</v>
      </c>
      <c r="G6" t="s">
        <v>775</v>
      </c>
      <c r="H6" s="9" t="s">
        <v>855</v>
      </c>
      <c r="I6" s="9" t="s">
        <v>856</v>
      </c>
      <c r="J6" s="9" t="s">
        <v>978</v>
      </c>
      <c r="K6" s="9" t="s">
        <v>1043</v>
      </c>
    </row>
    <row r="7" spans="2:11">
      <c r="C7" t="str">
        <f t="shared" si="0"/>
        <v>Úvod</v>
      </c>
      <c r="D7" s="16" t="s">
        <v>10</v>
      </c>
      <c r="E7" s="16" t="s">
        <v>10</v>
      </c>
      <c r="F7" s="16" t="s">
        <v>654</v>
      </c>
      <c r="G7" s="16" t="s">
        <v>655</v>
      </c>
      <c r="H7" s="9" t="s">
        <v>857</v>
      </c>
      <c r="I7" s="9" t="s">
        <v>857</v>
      </c>
      <c r="J7" s="9" t="s">
        <v>979</v>
      </c>
      <c r="K7" s="9" t="s">
        <v>1044</v>
      </c>
    </row>
    <row r="8" spans="2:11">
      <c r="C8" t="str">
        <f t="shared" si="0"/>
        <v>Dále</v>
      </c>
      <c r="D8" t="s">
        <v>656</v>
      </c>
      <c r="E8" t="s">
        <v>657</v>
      </c>
      <c r="F8" t="s">
        <v>658</v>
      </c>
      <c r="G8" t="s">
        <v>659</v>
      </c>
      <c r="H8" s="9" t="s">
        <v>660</v>
      </c>
      <c r="I8" s="9" t="s">
        <v>858</v>
      </c>
      <c r="J8" s="9" t="s">
        <v>980</v>
      </c>
      <c r="K8" s="9" t="s">
        <v>1045</v>
      </c>
    </row>
    <row r="9" spans="2:11" ht="43.2">
      <c r="C9" t="str">
        <f t="shared" si="0"/>
        <v>Výška korpusu (A)</v>
      </c>
      <c r="D9" t="s">
        <v>14</v>
      </c>
      <c r="E9" t="s">
        <v>14</v>
      </c>
      <c r="F9" t="s">
        <v>723</v>
      </c>
      <c r="G9" t="s">
        <v>776</v>
      </c>
      <c r="H9" s="9" t="s">
        <v>859</v>
      </c>
      <c r="I9" s="9" t="s">
        <v>860</v>
      </c>
      <c r="J9" s="9" t="s">
        <v>981</v>
      </c>
      <c r="K9" s="9" t="s">
        <v>1046</v>
      </c>
    </row>
    <row r="10" spans="2:11" ht="43.2">
      <c r="C10" t="str">
        <f t="shared" si="0"/>
        <v>Šířka korpusu (B)</v>
      </c>
      <c r="D10" t="s">
        <v>15</v>
      </c>
      <c r="E10" t="s">
        <v>822</v>
      </c>
      <c r="F10" t="s">
        <v>724</v>
      </c>
      <c r="G10" t="s">
        <v>777</v>
      </c>
      <c r="H10" s="9" t="s">
        <v>861</v>
      </c>
      <c r="I10" s="9" t="s">
        <v>862</v>
      </c>
      <c r="J10" s="9" t="s">
        <v>982</v>
      </c>
      <c r="K10" s="9" t="s">
        <v>1047</v>
      </c>
    </row>
    <row r="11" spans="2:11" ht="57.6">
      <c r="C11" t="str">
        <f t="shared" si="0"/>
        <v>Tloušťka dna a půdy (C)</v>
      </c>
      <c r="D11" t="s">
        <v>16</v>
      </c>
      <c r="E11" t="s">
        <v>823</v>
      </c>
      <c r="F11" s="42" t="s">
        <v>725</v>
      </c>
      <c r="G11" t="s">
        <v>778</v>
      </c>
      <c r="H11" s="9" t="s">
        <v>863</v>
      </c>
      <c r="I11" s="9" t="s">
        <v>864</v>
      </c>
      <c r="J11" s="9" t="s">
        <v>983</v>
      </c>
      <c r="K11" s="9" t="s">
        <v>1048</v>
      </c>
    </row>
    <row r="12" spans="2:11" ht="28.8">
      <c r="C12" t="str">
        <f t="shared" si="0"/>
        <v>Tloušťka boků (D)</v>
      </c>
      <c r="D12" t="s">
        <v>17</v>
      </c>
      <c r="E12" t="s">
        <v>824</v>
      </c>
      <c r="F12" t="s">
        <v>726</v>
      </c>
      <c r="G12" t="s">
        <v>779</v>
      </c>
      <c r="H12" s="9" t="s">
        <v>865</v>
      </c>
      <c r="I12" s="9" t="s">
        <v>866</v>
      </c>
      <c r="J12" s="9" t="s">
        <v>984</v>
      </c>
      <c r="K12" s="9" t="s">
        <v>1049</v>
      </c>
    </row>
    <row r="13" spans="2:11">
      <c r="C13" t="str">
        <f t="shared" si="0"/>
        <v>Mezera nahoře (E)</v>
      </c>
      <c r="D13" t="s">
        <v>19</v>
      </c>
      <c r="E13" t="s">
        <v>825</v>
      </c>
      <c r="F13" t="s">
        <v>727</v>
      </c>
      <c r="G13" t="s">
        <v>780</v>
      </c>
      <c r="H13" s="9" t="s">
        <v>867</v>
      </c>
      <c r="I13" s="9" t="s">
        <v>868</v>
      </c>
      <c r="J13" s="81" t="s">
        <v>985</v>
      </c>
      <c r="K13" s="9" t="s">
        <v>1050</v>
      </c>
    </row>
    <row r="14" spans="2:11" ht="43.2">
      <c r="C14" t="str">
        <f t="shared" si="0"/>
        <v>Mezera mezi čely (F)</v>
      </c>
      <c r="D14" t="s">
        <v>18</v>
      </c>
      <c r="E14" t="s">
        <v>826</v>
      </c>
      <c r="F14" t="s">
        <v>728</v>
      </c>
      <c r="G14" t="s">
        <v>781</v>
      </c>
      <c r="H14" s="9" t="s">
        <v>869</v>
      </c>
      <c r="I14" s="9" t="s">
        <v>870</v>
      </c>
      <c r="J14" s="9" t="s">
        <v>986</v>
      </c>
      <c r="K14" s="9" t="s">
        <v>1051</v>
      </c>
    </row>
    <row r="15" spans="2:11">
      <c r="C15" t="str">
        <f t="shared" si="0"/>
        <v>Mezera dole (G)</v>
      </c>
      <c r="D15" t="s">
        <v>20</v>
      </c>
      <c r="E15" t="s">
        <v>827</v>
      </c>
      <c r="F15" t="s">
        <v>729</v>
      </c>
      <c r="G15" t="s">
        <v>782</v>
      </c>
      <c r="H15" s="9" t="s">
        <v>871</v>
      </c>
      <c r="I15" s="9" t="s">
        <v>872</v>
      </c>
      <c r="J15" s="9" t="s">
        <v>987</v>
      </c>
      <c r="K15" s="9" t="s">
        <v>1052</v>
      </c>
    </row>
    <row r="16" spans="2:11" ht="28.8">
      <c r="C16" t="str">
        <f t="shared" si="0"/>
        <v>Mezera na stranách (H)</v>
      </c>
      <c r="D16" t="s">
        <v>21</v>
      </c>
      <c r="E16" t="s">
        <v>828</v>
      </c>
      <c r="F16" t="s">
        <v>730</v>
      </c>
      <c r="G16" t="s">
        <v>783</v>
      </c>
      <c r="H16" s="9" t="s">
        <v>873</v>
      </c>
      <c r="I16" s="9" t="s">
        <v>874</v>
      </c>
      <c r="J16" s="9" t="s">
        <v>988</v>
      </c>
      <c r="K16" s="9" t="s">
        <v>1053</v>
      </c>
    </row>
    <row r="17" spans="3:11" ht="28.8">
      <c r="C17" t="str">
        <f t="shared" si="0"/>
        <v>Délka výsuvů</v>
      </c>
      <c r="D17" t="s">
        <v>1109</v>
      </c>
      <c r="E17" t="s">
        <v>1110</v>
      </c>
      <c r="F17" t="s">
        <v>1111</v>
      </c>
      <c r="G17" t="s">
        <v>1112</v>
      </c>
      <c r="H17" s="9" t="s">
        <v>1113</v>
      </c>
      <c r="I17" s="9" t="s">
        <v>1114</v>
      </c>
      <c r="J17" s="9" t="s">
        <v>1115</v>
      </c>
      <c r="K17" s="9" t="s">
        <v>1116</v>
      </c>
    </row>
    <row r="18" spans="3:11" ht="28.8">
      <c r="C18" t="str">
        <f t="shared" si="0"/>
        <v>Počet zásuvek</v>
      </c>
      <c r="D18" t="s">
        <v>22</v>
      </c>
      <c r="E18" t="s">
        <v>829</v>
      </c>
      <c r="F18" t="s">
        <v>731</v>
      </c>
      <c r="G18" t="s">
        <v>784</v>
      </c>
      <c r="H18" s="9" t="s">
        <v>875</v>
      </c>
      <c r="I18" s="9" t="s">
        <v>876</v>
      </c>
      <c r="J18" s="9" t="s">
        <v>989</v>
      </c>
      <c r="K18" s="9" t="s">
        <v>1054</v>
      </c>
    </row>
    <row r="19" spans="3:11" ht="43.2">
      <c r="C19" t="str">
        <f t="shared" si="0"/>
        <v>Dopočet výšky čílek</v>
      </c>
      <c r="D19" t="s">
        <v>691</v>
      </c>
      <c r="E19" t="s">
        <v>830</v>
      </c>
      <c r="F19" s="42" t="s">
        <v>732</v>
      </c>
      <c r="G19" t="s">
        <v>785</v>
      </c>
      <c r="H19" s="9" t="s">
        <v>877</v>
      </c>
      <c r="I19" s="9" t="s">
        <v>878</v>
      </c>
      <c r="J19" s="9" t="s">
        <v>990</v>
      </c>
      <c r="K19" s="9" t="s">
        <v>1055</v>
      </c>
    </row>
    <row r="20" spans="3:11" ht="57.6">
      <c r="C20" t="str">
        <f t="shared" si="0"/>
        <v>Bude čelo s úchytovým profilem?</v>
      </c>
      <c r="D20" t="s">
        <v>23</v>
      </c>
      <c r="E20" t="s">
        <v>831</v>
      </c>
      <c r="F20" t="s">
        <v>733</v>
      </c>
      <c r="G20" t="s">
        <v>786</v>
      </c>
      <c r="H20" s="9" t="s">
        <v>879</v>
      </c>
      <c r="I20" s="9" t="s">
        <v>880</v>
      </c>
      <c r="J20" s="9" t="s">
        <v>991</v>
      </c>
      <c r="K20" s="9" t="s">
        <v>1056</v>
      </c>
    </row>
    <row r="21" spans="3:11" ht="43.2">
      <c r="C21" t="str">
        <f t="shared" si="0"/>
        <v>Výška úchytového profilu v mm (J)</v>
      </c>
      <c r="D21" t="s">
        <v>25</v>
      </c>
      <c r="E21" t="s">
        <v>25</v>
      </c>
      <c r="F21" t="s">
        <v>734</v>
      </c>
      <c r="G21" t="s">
        <v>787</v>
      </c>
      <c r="H21" s="9" t="s">
        <v>881</v>
      </c>
      <c r="I21" s="9" t="s">
        <v>882</v>
      </c>
      <c r="J21" s="9" t="s">
        <v>992</v>
      </c>
      <c r="K21" s="9" t="s">
        <v>1057</v>
      </c>
    </row>
    <row r="22" spans="3:11">
      <c r="C22" t="str">
        <f t="shared" si="0"/>
        <v>1. zásuvka</v>
      </c>
      <c r="D22" t="s">
        <v>28</v>
      </c>
      <c r="E22" t="s">
        <v>28</v>
      </c>
      <c r="F22" t="s">
        <v>735</v>
      </c>
      <c r="G22" t="s">
        <v>788</v>
      </c>
      <c r="H22" s="9" t="s">
        <v>883</v>
      </c>
      <c r="I22" s="9" t="s">
        <v>884</v>
      </c>
      <c r="J22" s="9" t="s">
        <v>993</v>
      </c>
      <c r="K22" s="9" t="s">
        <v>1058</v>
      </c>
    </row>
    <row r="23" spans="3:11">
      <c r="C23" t="str">
        <f t="shared" si="0"/>
        <v>2. zásuvka</v>
      </c>
      <c r="D23" t="s">
        <v>29</v>
      </c>
      <c r="E23" t="s">
        <v>29</v>
      </c>
      <c r="F23" t="s">
        <v>736</v>
      </c>
      <c r="G23" t="s">
        <v>789</v>
      </c>
      <c r="H23" s="9" t="s">
        <v>885</v>
      </c>
      <c r="I23" s="9" t="s">
        <v>886</v>
      </c>
      <c r="J23" s="9" t="s">
        <v>994</v>
      </c>
      <c r="K23" s="9" t="s">
        <v>1059</v>
      </c>
    </row>
    <row r="24" spans="3:11">
      <c r="C24" t="str">
        <f t="shared" si="0"/>
        <v>3. zásuvka</v>
      </c>
      <c r="D24" t="s">
        <v>30</v>
      </c>
      <c r="E24" t="s">
        <v>30</v>
      </c>
      <c r="F24" t="s">
        <v>737</v>
      </c>
      <c r="G24" t="s">
        <v>790</v>
      </c>
      <c r="H24" s="9" t="s">
        <v>887</v>
      </c>
      <c r="I24" s="9" t="s">
        <v>888</v>
      </c>
      <c r="J24" s="9" t="s">
        <v>995</v>
      </c>
      <c r="K24" s="9" t="s">
        <v>1060</v>
      </c>
    </row>
    <row r="25" spans="3:11">
      <c r="C25" t="str">
        <f t="shared" si="0"/>
        <v>4. zásuvka</v>
      </c>
      <c r="D25" t="s">
        <v>31</v>
      </c>
      <c r="E25" t="s">
        <v>31</v>
      </c>
      <c r="F25" t="s">
        <v>738</v>
      </c>
      <c r="G25" t="s">
        <v>791</v>
      </c>
      <c r="H25" s="9" t="s">
        <v>889</v>
      </c>
      <c r="I25" s="9" t="s">
        <v>890</v>
      </c>
      <c r="J25" s="9" t="s">
        <v>996</v>
      </c>
      <c r="K25" s="9" t="s">
        <v>1061</v>
      </c>
    </row>
    <row r="26" spans="3:11">
      <c r="C26" t="str">
        <f t="shared" si="0"/>
        <v>5. zásuvka</v>
      </c>
      <c r="D26" t="s">
        <v>32</v>
      </c>
      <c r="E26" t="s">
        <v>32</v>
      </c>
      <c r="F26" t="s">
        <v>739</v>
      </c>
      <c r="G26" t="s">
        <v>792</v>
      </c>
      <c r="H26" s="9" t="s">
        <v>891</v>
      </c>
      <c r="I26" s="9" t="s">
        <v>892</v>
      </c>
      <c r="J26" s="9" t="s">
        <v>997</v>
      </c>
      <c r="K26" s="9" t="s">
        <v>1062</v>
      </c>
    </row>
    <row r="27" spans="3:11" ht="43.2">
      <c r="C27" t="str">
        <f t="shared" si="0"/>
        <v>Pozice výsuvu</v>
      </c>
      <c r="D27" t="s">
        <v>27</v>
      </c>
      <c r="E27" t="s">
        <v>832</v>
      </c>
      <c r="F27" t="s">
        <v>740</v>
      </c>
      <c r="G27" t="s">
        <v>793</v>
      </c>
      <c r="H27" s="9" t="s">
        <v>893</v>
      </c>
      <c r="I27" s="9" t="s">
        <v>894</v>
      </c>
      <c r="J27" s="9" t="s">
        <v>998</v>
      </c>
      <c r="K27" s="9" t="s">
        <v>1063</v>
      </c>
    </row>
    <row r="28" spans="3:11" ht="28.8">
      <c r="C28" t="str">
        <f t="shared" si="0"/>
        <v>Výška čílka</v>
      </c>
      <c r="D28" t="s">
        <v>692</v>
      </c>
      <c r="E28" t="s">
        <v>833</v>
      </c>
      <c r="F28" s="42" t="s">
        <v>741</v>
      </c>
      <c r="G28" t="s">
        <v>794</v>
      </c>
      <c r="H28" s="9" t="s">
        <v>895</v>
      </c>
      <c r="I28" s="9" t="s">
        <v>896</v>
      </c>
      <c r="J28" s="9" t="s">
        <v>999</v>
      </c>
      <c r="K28" s="9" t="s">
        <v>1064</v>
      </c>
    </row>
    <row r="29" spans="3:11" ht="43.2">
      <c r="C29" t="str">
        <f t="shared" si="0"/>
        <v>Rozměry korpusu v mm</v>
      </c>
      <c r="D29" t="s">
        <v>609</v>
      </c>
      <c r="E29" t="s">
        <v>834</v>
      </c>
      <c r="F29" t="s">
        <v>742</v>
      </c>
      <c r="G29" t="s">
        <v>795</v>
      </c>
      <c r="H29" s="9" t="s">
        <v>897</v>
      </c>
      <c r="I29" s="9" t="s">
        <v>898</v>
      </c>
      <c r="J29" s="9" t="s">
        <v>1000</v>
      </c>
      <c r="K29" s="9" t="s">
        <v>1065</v>
      </c>
    </row>
    <row r="30" spans="3:11" ht="28.8">
      <c r="C30" t="str">
        <f t="shared" si="0"/>
        <v>Vyberte barvu</v>
      </c>
      <c r="D30" t="s">
        <v>577</v>
      </c>
      <c r="E30" t="s">
        <v>578</v>
      </c>
      <c r="F30" t="s">
        <v>743</v>
      </c>
      <c r="G30" t="s">
        <v>796</v>
      </c>
      <c r="H30" s="9" t="s">
        <v>899</v>
      </c>
      <c r="I30" s="9" t="s">
        <v>900</v>
      </c>
      <c r="J30" s="9" t="s">
        <v>1001</v>
      </c>
      <c r="K30" s="9" t="s">
        <v>1066</v>
      </c>
    </row>
    <row r="31" spans="3:11">
      <c r="C31" t="str">
        <f t="shared" si="0"/>
        <v>bílá</v>
      </c>
      <c r="D31" t="s">
        <v>574</v>
      </c>
      <c r="E31" t="s">
        <v>575</v>
      </c>
      <c r="F31" t="s">
        <v>744</v>
      </c>
      <c r="G31" t="s">
        <v>797</v>
      </c>
      <c r="H31" s="9" t="s">
        <v>901</v>
      </c>
      <c r="I31" s="9" t="s">
        <v>902</v>
      </c>
      <c r="J31" s="9" t="s">
        <v>1002</v>
      </c>
      <c r="K31" s="9" t="s">
        <v>1067</v>
      </c>
    </row>
    <row r="32" spans="3:11">
      <c r="C32" t="str">
        <f t="shared" si="0"/>
        <v>černá</v>
      </c>
      <c r="D32" t="s">
        <v>573</v>
      </c>
      <c r="E32" t="s">
        <v>576</v>
      </c>
      <c r="F32" t="s">
        <v>745</v>
      </c>
      <c r="G32" t="s">
        <v>798</v>
      </c>
      <c r="H32" s="9" t="s">
        <v>903</v>
      </c>
      <c r="I32" s="9" t="s">
        <v>904</v>
      </c>
      <c r="J32" s="9" t="s">
        <v>1003</v>
      </c>
      <c r="K32" s="9" t="s">
        <v>1068</v>
      </c>
    </row>
    <row r="33" spans="3:11">
      <c r="C33" t="str">
        <f t="shared" si="0"/>
        <v>tmavě šedá</v>
      </c>
      <c r="D33" t="s">
        <v>582</v>
      </c>
      <c r="E33" t="s">
        <v>581</v>
      </c>
      <c r="F33" t="s">
        <v>746</v>
      </c>
      <c r="G33" t="s">
        <v>799</v>
      </c>
      <c r="H33" s="9" t="s">
        <v>905</v>
      </c>
      <c r="I33" s="9" t="s">
        <v>906</v>
      </c>
      <c r="J33" s="9" t="s">
        <v>1004</v>
      </c>
      <c r="K33" s="9" t="s">
        <v>1069</v>
      </c>
    </row>
    <row r="34" spans="3:11" ht="43.2">
      <c r="C34" t="str">
        <f t="shared" si="0"/>
        <v>Vyberte výšku bočnice</v>
      </c>
      <c r="D34" t="s">
        <v>579</v>
      </c>
      <c r="E34" t="s">
        <v>579</v>
      </c>
      <c r="F34" t="s">
        <v>747</v>
      </c>
      <c r="G34" t="s">
        <v>800</v>
      </c>
      <c r="H34" s="9" t="s">
        <v>907</v>
      </c>
      <c r="I34" s="9" t="s">
        <v>908</v>
      </c>
      <c r="J34" s="9" t="s">
        <v>1005</v>
      </c>
      <c r="K34" s="9" t="s">
        <v>1070</v>
      </c>
    </row>
    <row r="35" spans="3:11" ht="28.8">
      <c r="C35" t="str">
        <f t="shared" si="0"/>
        <v>nelze varianta se sklem</v>
      </c>
      <c r="D35" t="s">
        <v>607</v>
      </c>
      <c r="E35" t="s">
        <v>693</v>
      </c>
      <c r="F35" t="s">
        <v>748</v>
      </c>
      <c r="G35" t="s">
        <v>821</v>
      </c>
      <c r="H35" s="9" t="s">
        <v>909</v>
      </c>
      <c r="I35" s="9" t="s">
        <v>910</v>
      </c>
      <c r="J35" s="9" t="s">
        <v>1006</v>
      </c>
      <c r="K35" s="9" t="s">
        <v>1071</v>
      </c>
    </row>
    <row r="36" spans="3:11" ht="57.6">
      <c r="C36" t="str">
        <f t="shared" si="0"/>
        <v>Vrtání boku korpusu</v>
      </c>
      <c r="D36" t="s">
        <v>608</v>
      </c>
      <c r="E36" t="s">
        <v>835</v>
      </c>
      <c r="F36" t="s">
        <v>749</v>
      </c>
      <c r="G36" t="s">
        <v>801</v>
      </c>
      <c r="H36" s="9" t="s">
        <v>911</v>
      </c>
      <c r="I36" s="9" t="s">
        <v>912</v>
      </c>
      <c r="J36" s="9" t="s">
        <v>1007</v>
      </c>
      <c r="K36" s="9" t="s">
        <v>1072</v>
      </c>
    </row>
    <row r="37" spans="3:11" ht="43.2">
      <c r="C37" t="str">
        <f t="shared" si="0"/>
        <v>Vyplňujte vždy sdola</v>
      </c>
      <c r="D37" t="s">
        <v>610</v>
      </c>
      <c r="E37" t="s">
        <v>836</v>
      </c>
      <c r="F37" t="s">
        <v>750</v>
      </c>
      <c r="G37" t="s">
        <v>802</v>
      </c>
      <c r="H37" s="9" t="s">
        <v>913</v>
      </c>
      <c r="I37" s="9" t="s">
        <v>914</v>
      </c>
      <c r="J37" s="9" t="s">
        <v>1008</v>
      </c>
      <c r="K37" s="9" t="s">
        <v>1073</v>
      </c>
    </row>
    <row r="38" spans="3:11" ht="57.6">
      <c r="C38" t="str">
        <f t="shared" si="0"/>
        <v>Výška otvorů od dna korpusu</v>
      </c>
      <c r="D38" t="s">
        <v>611</v>
      </c>
      <c r="E38" t="s">
        <v>837</v>
      </c>
      <c r="F38" t="s">
        <v>751</v>
      </c>
      <c r="G38" t="s">
        <v>803</v>
      </c>
      <c r="H38" s="9" t="s">
        <v>1138</v>
      </c>
      <c r="I38" s="9" t="s">
        <v>915</v>
      </c>
      <c r="J38" s="9" t="s">
        <v>1139</v>
      </c>
      <c r="K38" s="9" t="s">
        <v>1074</v>
      </c>
    </row>
    <row r="39" spans="3:11" ht="100.8">
      <c r="C39" t="str">
        <f t="shared" si="0"/>
        <v>Vždy používejte aktuální verzi formuláře, který je dostupný na našich stánkách.</v>
      </c>
      <c r="D39" s="14" t="s">
        <v>613</v>
      </c>
      <c r="E39" t="s">
        <v>614</v>
      </c>
      <c r="F39" t="s">
        <v>615</v>
      </c>
      <c r="G39" t="s">
        <v>616</v>
      </c>
      <c r="H39" s="9" t="s">
        <v>916</v>
      </c>
      <c r="I39" s="9" t="s">
        <v>917</v>
      </c>
      <c r="J39" s="9" t="s">
        <v>1009</v>
      </c>
      <c r="K39" s="9" t="s">
        <v>1075</v>
      </c>
    </row>
    <row r="40" spans="3:11" ht="57.6">
      <c r="C40" t="str">
        <f t="shared" si="0"/>
        <v>Vyplňte prosím Vaše kontaktní údaje:</v>
      </c>
      <c r="D40" s="14" t="s">
        <v>677</v>
      </c>
      <c r="E40" t="s">
        <v>646</v>
      </c>
      <c r="F40" t="s">
        <v>647</v>
      </c>
      <c r="G40" t="s">
        <v>648</v>
      </c>
      <c r="H40" s="9" t="s">
        <v>918</v>
      </c>
      <c r="I40" s="9" t="s">
        <v>919</v>
      </c>
      <c r="J40" s="9" t="s">
        <v>1010</v>
      </c>
      <c r="K40" s="9" t="s">
        <v>1076</v>
      </c>
    </row>
    <row r="41" spans="3:11">
      <c r="C41" t="str">
        <f t="shared" si="0"/>
        <v>Zákazník</v>
      </c>
      <c r="D41" s="14" t="s">
        <v>617</v>
      </c>
      <c r="E41" t="s">
        <v>617</v>
      </c>
      <c r="F41" t="s">
        <v>618</v>
      </c>
      <c r="G41" t="s">
        <v>619</v>
      </c>
      <c r="H41" s="9" t="s">
        <v>920</v>
      </c>
      <c r="I41" s="9" t="s">
        <v>921</v>
      </c>
      <c r="J41" s="9" t="s">
        <v>1011</v>
      </c>
      <c r="K41" s="9" t="s">
        <v>1077</v>
      </c>
    </row>
    <row r="42" spans="3:11" ht="28.8">
      <c r="C42" t="str">
        <f t="shared" si="0"/>
        <v>Kontaktní tel.</v>
      </c>
      <c r="D42" s="14" t="s">
        <v>620</v>
      </c>
      <c r="E42" t="s">
        <v>621</v>
      </c>
      <c r="F42" t="s">
        <v>622</v>
      </c>
      <c r="G42" t="s">
        <v>623</v>
      </c>
      <c r="H42" s="9" t="s">
        <v>922</v>
      </c>
      <c r="I42" s="9" t="s">
        <v>923</v>
      </c>
      <c r="J42" s="9" t="s">
        <v>1012</v>
      </c>
      <c r="K42" s="9" t="s">
        <v>1078</v>
      </c>
    </row>
    <row r="43" spans="3:11" ht="28.8">
      <c r="C43" t="str">
        <f t="shared" si="0"/>
        <v>Kontaktní e-mail</v>
      </c>
      <c r="D43" s="14" t="s">
        <v>624</v>
      </c>
      <c r="E43" t="s">
        <v>625</v>
      </c>
      <c r="F43" t="s">
        <v>626</v>
      </c>
      <c r="G43" t="s">
        <v>627</v>
      </c>
      <c r="H43" s="9" t="s">
        <v>924</v>
      </c>
      <c r="I43" s="9" t="s">
        <v>925</v>
      </c>
      <c r="J43" s="9" t="s">
        <v>1013</v>
      </c>
      <c r="K43" s="9" t="s">
        <v>1079</v>
      </c>
    </row>
    <row r="44" spans="3:11" ht="43.2">
      <c r="C44" t="str">
        <f t="shared" si="0"/>
        <v>Adresa provozovny</v>
      </c>
      <c r="D44" s="14" t="s">
        <v>628</v>
      </c>
      <c r="E44" t="s">
        <v>629</v>
      </c>
      <c r="F44" t="s">
        <v>630</v>
      </c>
      <c r="G44" t="s">
        <v>631</v>
      </c>
      <c r="H44" s="9" t="s">
        <v>926</v>
      </c>
      <c r="I44" s="9" t="s">
        <v>927</v>
      </c>
      <c r="J44" s="9" t="s">
        <v>1014</v>
      </c>
      <c r="K44" s="9" t="s">
        <v>1080</v>
      </c>
    </row>
    <row r="45" spans="3:11">
      <c r="C45" t="str">
        <f t="shared" si="0"/>
        <v>IČ:</v>
      </c>
      <c r="D45" s="14" t="s">
        <v>632</v>
      </c>
      <c r="E45" t="s">
        <v>632</v>
      </c>
      <c r="F45" t="s">
        <v>633</v>
      </c>
      <c r="G45" t="s">
        <v>633</v>
      </c>
      <c r="H45" s="9" t="s">
        <v>928</v>
      </c>
      <c r="I45" s="9" t="s">
        <v>929</v>
      </c>
      <c r="J45" s="9" t="s">
        <v>1015</v>
      </c>
      <c r="K45" s="9" t="s">
        <v>1081</v>
      </c>
    </row>
    <row r="46" spans="3:11">
      <c r="C46" t="str">
        <f t="shared" si="0"/>
        <v>Vaše sleva*</v>
      </c>
      <c r="D46" s="14" t="s">
        <v>634</v>
      </c>
      <c r="E46" t="s">
        <v>635</v>
      </c>
      <c r="F46" t="s">
        <v>636</v>
      </c>
      <c r="G46" t="s">
        <v>637</v>
      </c>
      <c r="H46" s="9" t="s">
        <v>930</v>
      </c>
      <c r="I46" s="9" t="s">
        <v>931</v>
      </c>
      <c r="J46" s="9" t="s">
        <v>1016</v>
      </c>
      <c r="K46" s="9" t="s">
        <v>1082</v>
      </c>
    </row>
    <row r="47" spans="3:11">
      <c r="C47" t="str">
        <f t="shared" si="0"/>
        <v>Číslo objednávky</v>
      </c>
      <c r="D47" s="14" t="s">
        <v>638</v>
      </c>
      <c r="E47" t="s">
        <v>638</v>
      </c>
      <c r="F47" t="s">
        <v>639</v>
      </c>
      <c r="G47" t="s">
        <v>640</v>
      </c>
      <c r="H47" s="9" t="s">
        <v>932</v>
      </c>
      <c r="I47" s="9" t="s">
        <v>933</v>
      </c>
      <c r="J47" s="9" t="s">
        <v>1017</v>
      </c>
      <c r="K47" s="9" t="s">
        <v>1083</v>
      </c>
    </row>
    <row r="48" spans="3:11">
      <c r="C48" t="str">
        <f t="shared" si="0"/>
        <v>Verze 1.00</v>
      </c>
      <c r="D48" t="str">
        <f>"Verze "&amp;C1</f>
        <v>Verze 1.00</v>
      </c>
      <c r="E48" t="str">
        <f>"Verzia "&amp;C1</f>
        <v>Verzia 1.00</v>
      </c>
      <c r="F48" t="str">
        <f>"Wersja "&amp;C1</f>
        <v>Wersja 1.00</v>
      </c>
      <c r="G48" t="s">
        <v>804</v>
      </c>
      <c r="H48" s="9" t="str">
        <f>"Version "&amp;C1</f>
        <v>Version 1.00</v>
      </c>
      <c r="I48" s="9" t="str">
        <f>"Version "&amp;C1</f>
        <v>Version 1.00</v>
      </c>
      <c r="J48" s="9" t="str">
        <f>"Version "&amp;C1</f>
        <v>Version 1.00</v>
      </c>
      <c r="K48" s="9" t="str">
        <f>"Вариант "&amp;C1</f>
        <v>Вариант 1.00</v>
      </c>
    </row>
    <row r="49" spans="2:11" ht="43.2">
      <c r="C49" t="str">
        <f t="shared" si="0"/>
        <v>Ceny jsou platné od 02.01.2025</v>
      </c>
      <c r="D49" t="s">
        <v>643</v>
      </c>
      <c r="E49" t="s">
        <v>642</v>
      </c>
      <c r="F49" t="s">
        <v>644</v>
      </c>
      <c r="G49" t="s">
        <v>645</v>
      </c>
      <c r="H49" s="9" t="s">
        <v>934</v>
      </c>
      <c r="I49" s="9" t="s">
        <v>935</v>
      </c>
      <c r="J49" s="9" t="s">
        <v>1018</v>
      </c>
      <c r="K49" s="9" t="s">
        <v>1084</v>
      </c>
    </row>
    <row r="50" spans="2:11" ht="345.6">
      <c r="C50" t="str">
        <f t="shared" si="0"/>
        <v>Tento formulář slouží pro pomoc při výpočtu výšky čel, vrtání výsuvů a čel. V některých případech výpočty nemusí být přesné a firma Démos Trade neručí za škody způsobené tímto formulářem.</v>
      </c>
      <c r="D50" t="s">
        <v>649</v>
      </c>
      <c r="E50" t="s">
        <v>838</v>
      </c>
      <c r="F50" t="s">
        <v>752</v>
      </c>
      <c r="G50" t="s">
        <v>805</v>
      </c>
      <c r="H50" s="9" t="s">
        <v>936</v>
      </c>
      <c r="I50" s="9" t="s">
        <v>937</v>
      </c>
      <c r="J50" s="9" t="s">
        <v>1019</v>
      </c>
      <c r="K50" s="9" t="s">
        <v>1085</v>
      </c>
    </row>
    <row r="51" spans="2:11" ht="100.8">
      <c r="C51" t="str">
        <f t="shared" si="0"/>
        <v>Potvrzuji, že rozumím a přijímám výše uvedené podmínky a doporučení.</v>
      </c>
      <c r="D51" s="7" t="s">
        <v>650</v>
      </c>
      <c r="E51" t="s">
        <v>651</v>
      </c>
      <c r="F51" t="s">
        <v>652</v>
      </c>
      <c r="G51" t="s">
        <v>653</v>
      </c>
      <c r="H51" s="9" t="s">
        <v>938</v>
      </c>
      <c r="I51" s="9" t="s">
        <v>939</v>
      </c>
      <c r="J51" s="9" t="s">
        <v>1020</v>
      </c>
      <c r="K51" s="9" t="s">
        <v>1086</v>
      </c>
    </row>
    <row r="52" spans="2:11">
      <c r="C52" t="str">
        <f t="shared" si="0"/>
        <v>Zpět</v>
      </c>
      <c r="D52" t="s">
        <v>661</v>
      </c>
      <c r="E52" t="s">
        <v>662</v>
      </c>
      <c r="F52" t="s">
        <v>663</v>
      </c>
      <c r="G52" t="s">
        <v>664</v>
      </c>
      <c r="H52" s="9" t="s">
        <v>665</v>
      </c>
      <c r="I52" s="9" t="s">
        <v>940</v>
      </c>
      <c r="J52" s="9" t="s">
        <v>1021</v>
      </c>
      <c r="K52" s="9" t="s">
        <v>1087</v>
      </c>
    </row>
    <row r="53" spans="2:11" ht="43.2">
      <c r="C53" t="str">
        <f t="shared" si="0"/>
        <v>Uvedené ceny jsou bez DPH!</v>
      </c>
      <c r="D53" s="14" t="s">
        <v>666</v>
      </c>
      <c r="E53" t="s">
        <v>667</v>
      </c>
      <c r="F53" t="s">
        <v>668</v>
      </c>
      <c r="G53" t="s">
        <v>669</v>
      </c>
      <c r="H53" s="9" t="s">
        <v>941</v>
      </c>
      <c r="I53" s="9" t="s">
        <v>942</v>
      </c>
      <c r="J53" s="9" t="s">
        <v>1022</v>
      </c>
      <c r="K53" s="9" t="s">
        <v>1088</v>
      </c>
    </row>
    <row r="54" spans="2:11" ht="187.2">
      <c r="C54" t="str">
        <f t="shared" si="0"/>
        <v xml:space="preserve">Při vyplňování formuláře postupujte vždy shora dolů. Provedete li zpětně změnu, překontrolujte zda jsou následující položky správně. </v>
      </c>
      <c r="D54" s="14" t="s">
        <v>670</v>
      </c>
      <c r="E54" t="s">
        <v>671</v>
      </c>
      <c r="F54" t="s">
        <v>672</v>
      </c>
      <c r="G54" t="s">
        <v>673</v>
      </c>
      <c r="H54" s="9" t="s">
        <v>1130</v>
      </c>
      <c r="I54" s="9" t="s">
        <v>943</v>
      </c>
      <c r="J54" s="9" t="s">
        <v>1023</v>
      </c>
      <c r="K54" s="9" t="s">
        <v>1089</v>
      </c>
    </row>
    <row r="55" spans="2:11" ht="72">
      <c r="C55" t="str">
        <f t="shared" si="0"/>
        <v xml:space="preserve">Vyplněnou objednávku zašlete na adresu: </v>
      </c>
      <c r="D55" s="14" t="s">
        <v>1137</v>
      </c>
      <c r="E55" t="s">
        <v>1136</v>
      </c>
      <c r="F55" t="s">
        <v>1135</v>
      </c>
      <c r="G55" t="s">
        <v>1134</v>
      </c>
      <c r="H55" s="9" t="s">
        <v>1133</v>
      </c>
      <c r="I55" s="9" t="s">
        <v>1132</v>
      </c>
      <c r="J55" s="9" t="s">
        <v>1131</v>
      </c>
      <c r="K55" s="9" t="s">
        <v>1090</v>
      </c>
    </row>
    <row r="56" spans="2:11" ht="28.8">
      <c r="C56" t="str">
        <f t="shared" si="0"/>
        <v>objednavky@demos-trade.com</v>
      </c>
      <c r="D56" s="17" t="s">
        <v>674</v>
      </c>
      <c r="E56" s="18" t="s">
        <v>674</v>
      </c>
      <c r="F56" t="s">
        <v>675</v>
      </c>
      <c r="G56" t="s">
        <v>676</v>
      </c>
      <c r="H56" s="120" t="s">
        <v>944</v>
      </c>
      <c r="I56" s="78" t="s">
        <v>944</v>
      </c>
      <c r="J56" s="77" t="s">
        <v>944</v>
      </c>
      <c r="K56" s="77" t="s">
        <v>944</v>
      </c>
    </row>
    <row r="57" spans="2:11" ht="158.4">
      <c r="C57" t="str">
        <f t="shared" si="0"/>
        <v>Konfigurátor pro výpočet čel a vrtání zásuvek StrongMax s 18mm dnem</v>
      </c>
      <c r="D57" t="s">
        <v>641</v>
      </c>
      <c r="E57" t="s">
        <v>839</v>
      </c>
      <c r="F57" t="s">
        <v>753</v>
      </c>
      <c r="G57" t="s">
        <v>806</v>
      </c>
      <c r="H57" s="9" t="s">
        <v>945</v>
      </c>
      <c r="I57" s="9" t="s">
        <v>946</v>
      </c>
      <c r="J57" s="9" t="s">
        <v>1024</v>
      </c>
      <c r="K57" s="9" t="s">
        <v>1091</v>
      </c>
    </row>
    <row r="58" spans="2:11" ht="43.2">
      <c r="C58" t="str">
        <f t="shared" si="0"/>
        <v>Přířez zad:</v>
      </c>
      <c r="D58" t="s">
        <v>679</v>
      </c>
      <c r="E58" t="s">
        <v>840</v>
      </c>
      <c r="F58" t="s">
        <v>754</v>
      </c>
      <c r="G58" t="s">
        <v>807</v>
      </c>
      <c r="H58" s="9" t="s">
        <v>947</v>
      </c>
      <c r="I58" s="9" t="s">
        <v>948</v>
      </c>
      <c r="J58" s="9" t="s">
        <v>1025</v>
      </c>
      <c r="K58" s="9" t="s">
        <v>1092</v>
      </c>
    </row>
    <row r="59" spans="2:11" ht="57.6">
      <c r="C59" t="str">
        <f t="shared" si="0"/>
        <v>Přířez dna:</v>
      </c>
      <c r="D59" t="s">
        <v>680</v>
      </c>
      <c r="E59" t="s">
        <v>841</v>
      </c>
      <c r="F59" t="s">
        <v>755</v>
      </c>
      <c r="G59" t="s">
        <v>808</v>
      </c>
      <c r="H59" s="9" t="s">
        <v>949</v>
      </c>
      <c r="I59" s="9" t="s">
        <v>950</v>
      </c>
      <c r="J59" s="9" t="s">
        <v>1026</v>
      </c>
      <c r="K59" s="9" t="s">
        <v>1093</v>
      </c>
    </row>
    <row r="60" spans="2:11" ht="100.8">
      <c r="C60" t="str">
        <f t="shared" si="0"/>
        <v>(pro správný výpočet musí být zvolena výška bočnice v tabulce výše)</v>
      </c>
      <c r="D60" t="s">
        <v>681</v>
      </c>
      <c r="E60" t="s">
        <v>842</v>
      </c>
      <c r="F60" t="s">
        <v>756</v>
      </c>
      <c r="G60" t="s">
        <v>809</v>
      </c>
      <c r="H60" s="9" t="s">
        <v>951</v>
      </c>
      <c r="I60" s="9" t="s">
        <v>952</v>
      </c>
      <c r="J60" s="9" t="s">
        <v>1027</v>
      </c>
      <c r="K60" s="9" t="s">
        <v>1094</v>
      </c>
    </row>
    <row r="61" spans="2:11" ht="43.2">
      <c r="C61" t="str">
        <f t="shared" si="0"/>
        <v>Vrtání čílka první zásuvky</v>
      </c>
      <c r="D61" t="s">
        <v>682</v>
      </c>
      <c r="E61" t="s">
        <v>843</v>
      </c>
      <c r="F61" t="s">
        <v>757</v>
      </c>
      <c r="G61" t="s">
        <v>810</v>
      </c>
      <c r="H61" s="9" t="s">
        <v>953</v>
      </c>
      <c r="I61" s="9" t="s">
        <v>954</v>
      </c>
      <c r="J61" s="9" t="s">
        <v>1028</v>
      </c>
      <c r="K61" s="9" t="s">
        <v>1095</v>
      </c>
    </row>
    <row r="62" spans="2:11" ht="43.2">
      <c r="B62">
        <v>2</v>
      </c>
      <c r="C62" t="str">
        <f t="shared" si="0"/>
        <v>Vrtání čílka druhé zásuvky</v>
      </c>
      <c r="D62" t="s">
        <v>683</v>
      </c>
      <c r="E62" t="s">
        <v>844</v>
      </c>
      <c r="F62" t="s">
        <v>758</v>
      </c>
      <c r="G62" t="s">
        <v>811</v>
      </c>
      <c r="H62" s="9" t="s">
        <v>955</v>
      </c>
      <c r="I62" s="9" t="s">
        <v>956</v>
      </c>
      <c r="J62" s="79" t="s">
        <v>1029</v>
      </c>
      <c r="K62" s="9" t="s">
        <v>1096</v>
      </c>
    </row>
    <row r="63" spans="2:11" ht="43.2">
      <c r="B63">
        <v>3</v>
      </c>
      <c r="C63" t="str">
        <f t="shared" si="0"/>
        <v>Vrtání čílka třetí zásuvky</v>
      </c>
      <c r="D63" t="s">
        <v>684</v>
      </c>
      <c r="E63" t="s">
        <v>845</v>
      </c>
      <c r="F63" t="s">
        <v>759</v>
      </c>
      <c r="G63" t="s">
        <v>812</v>
      </c>
      <c r="H63" s="9" t="s">
        <v>957</v>
      </c>
      <c r="I63" s="9" t="s">
        <v>958</v>
      </c>
      <c r="J63" s="79" t="s">
        <v>1030</v>
      </c>
      <c r="K63" s="9" t="s">
        <v>1097</v>
      </c>
    </row>
    <row r="64" spans="2:11" ht="43.2">
      <c r="B64">
        <v>4</v>
      </c>
      <c r="C64" t="str">
        <f t="shared" si="0"/>
        <v>Vrtání čílka čtvrté zásuvky</v>
      </c>
      <c r="D64" t="s">
        <v>685</v>
      </c>
      <c r="E64" t="s">
        <v>846</v>
      </c>
      <c r="F64" t="s">
        <v>760</v>
      </c>
      <c r="G64" t="s">
        <v>813</v>
      </c>
      <c r="H64" s="9" t="s">
        <v>959</v>
      </c>
      <c r="I64" s="79" t="s">
        <v>960</v>
      </c>
      <c r="J64" s="79" t="s">
        <v>1031</v>
      </c>
      <c r="K64" s="9" t="s">
        <v>1098</v>
      </c>
    </row>
    <row r="65" spans="2:11" ht="43.2">
      <c r="B65">
        <v>5</v>
      </c>
      <c r="C65" t="str">
        <f t="shared" si="0"/>
        <v>Vrtání čílka páté zásuvky</v>
      </c>
      <c r="D65" t="s">
        <v>686</v>
      </c>
      <c r="E65" t="s">
        <v>847</v>
      </c>
      <c r="F65" t="s">
        <v>761</v>
      </c>
      <c r="G65" t="s">
        <v>814</v>
      </c>
      <c r="H65" s="9" t="s">
        <v>961</v>
      </c>
      <c r="I65" s="79" t="s">
        <v>962</v>
      </c>
      <c r="J65" s="79" t="s">
        <v>1032</v>
      </c>
      <c r="K65" s="9" t="s">
        <v>1099</v>
      </c>
    </row>
    <row r="66" spans="2:11" ht="57.6">
      <c r="C66" t="str">
        <f t="shared" si="0"/>
        <v>Výška čela vč. úchytového profilu</v>
      </c>
      <c r="D66" t="s">
        <v>689</v>
      </c>
      <c r="E66" t="s">
        <v>848</v>
      </c>
      <c r="F66" t="s">
        <v>762</v>
      </c>
      <c r="G66" t="s">
        <v>815</v>
      </c>
      <c r="H66" s="9" t="s">
        <v>963</v>
      </c>
      <c r="I66" s="9" t="s">
        <v>964</v>
      </c>
      <c r="J66" s="9" t="s">
        <v>1033</v>
      </c>
      <c r="K66" s="9" t="s">
        <v>1100</v>
      </c>
    </row>
    <row r="67" spans="2:11">
      <c r="C67" t="str">
        <f t="shared" si="0"/>
        <v>ano</v>
      </c>
      <c r="D67" s="35" t="s">
        <v>24</v>
      </c>
      <c r="E67" s="16" t="s">
        <v>702</v>
      </c>
      <c r="F67" s="16" t="s">
        <v>695</v>
      </c>
      <c r="G67" s="16" t="s">
        <v>696</v>
      </c>
      <c r="H67" s="9" t="s">
        <v>698</v>
      </c>
      <c r="I67" s="9" t="s">
        <v>965</v>
      </c>
      <c r="J67" s="9" t="s">
        <v>1034</v>
      </c>
      <c r="K67" s="9" t="s">
        <v>1101</v>
      </c>
    </row>
    <row r="68" spans="2:11">
      <c r="C68" t="str">
        <f t="shared" si="0"/>
        <v>ne</v>
      </c>
      <c r="D68" s="35" t="s">
        <v>26</v>
      </c>
      <c r="E68" s="16" t="s">
        <v>694</v>
      </c>
      <c r="F68" s="16" t="s">
        <v>694</v>
      </c>
      <c r="G68" s="16" t="s">
        <v>697</v>
      </c>
      <c r="H68" s="9" t="s">
        <v>699</v>
      </c>
      <c r="I68" s="9" t="s">
        <v>966</v>
      </c>
      <c r="J68" s="9" t="s">
        <v>1035</v>
      </c>
      <c r="K68" s="9" t="s">
        <v>1102</v>
      </c>
    </row>
    <row r="69" spans="2:11" ht="28.8">
      <c r="C69" t="str">
        <f t="shared" si="0"/>
        <v>Skleněná bočnice ano/ne</v>
      </c>
      <c r="D69" t="s">
        <v>585</v>
      </c>
      <c r="E69" t="s">
        <v>849</v>
      </c>
      <c r="F69" t="s">
        <v>763</v>
      </c>
      <c r="G69" t="s">
        <v>816</v>
      </c>
      <c r="H69" s="9" t="s">
        <v>967</v>
      </c>
      <c r="I69" s="80" t="s">
        <v>968</v>
      </c>
      <c r="J69" s="9" t="s">
        <v>1036</v>
      </c>
      <c r="K69" s="9" t="s">
        <v>1103</v>
      </c>
    </row>
    <row r="70" spans="2:11" ht="43.2">
      <c r="C70" t="str">
        <f t="shared" ref="C70:C76" si="1">IF($D$1=1,D:D,IF($D$1=2,E:E,IF($D$1=3,F:F,IF($D$1=4,G:G,IF($D$1=5,H:H,IF($D$1=6,I:I,IF($D$1=7,J:J,IF($D$1=8,K:K,"zvol jazyk"))))))))</f>
        <v>Pozn: vyplňujte zleva doprava</v>
      </c>
      <c r="D70" t="s">
        <v>700</v>
      </c>
      <c r="E70" t="s">
        <v>850</v>
      </c>
      <c r="F70" t="s">
        <v>764</v>
      </c>
      <c r="G70" t="s">
        <v>817</v>
      </c>
      <c r="H70" s="9" t="s">
        <v>969</v>
      </c>
      <c r="I70" s="9" t="s">
        <v>970</v>
      </c>
      <c r="J70" s="9" t="s">
        <v>1037</v>
      </c>
      <c r="K70" s="9" t="s">
        <v>1104</v>
      </c>
    </row>
    <row r="71" spans="2:11" ht="144">
      <c r="C71" t="str">
        <f t="shared" si="1"/>
        <v>Pozn: pokud uděláte změnu, vyplňte vše znovu, jinak bude formulář pracovat s nesprávnými daty</v>
      </c>
      <c r="D71" t="s">
        <v>701</v>
      </c>
      <c r="E71" t="s">
        <v>851</v>
      </c>
      <c r="F71" t="s">
        <v>765</v>
      </c>
      <c r="G71" t="s">
        <v>818</v>
      </c>
      <c r="H71" s="9" t="s">
        <v>971</v>
      </c>
      <c r="I71" s="9" t="s">
        <v>972</v>
      </c>
      <c r="J71" s="9" t="s">
        <v>1038</v>
      </c>
      <c r="K71" s="9" t="s">
        <v>1105</v>
      </c>
    </row>
    <row r="72" spans="2:11">
      <c r="C72" t="str">
        <f t="shared" si="1"/>
        <v>Kód kompletu</v>
      </c>
      <c r="D72" t="s">
        <v>604</v>
      </c>
      <c r="E72" t="s">
        <v>604</v>
      </c>
      <c r="F72" t="s">
        <v>766</v>
      </c>
      <c r="G72" t="s">
        <v>819</v>
      </c>
      <c r="H72" s="9" t="s">
        <v>973</v>
      </c>
      <c r="I72" s="9" t="s">
        <v>974</v>
      </c>
      <c r="J72" s="9" t="s">
        <v>1039</v>
      </c>
      <c r="K72" s="9" t="s">
        <v>1106</v>
      </c>
    </row>
    <row r="73" spans="2:11" ht="28.8">
      <c r="C73" t="str">
        <f t="shared" si="1"/>
        <v>Název kompletu</v>
      </c>
      <c r="D73" t="s">
        <v>605</v>
      </c>
      <c r="E73" t="s">
        <v>852</v>
      </c>
      <c r="F73" t="s">
        <v>767</v>
      </c>
      <c r="G73" t="s">
        <v>820</v>
      </c>
      <c r="H73" s="9" t="s">
        <v>975</v>
      </c>
      <c r="I73" s="9" t="s">
        <v>976</v>
      </c>
      <c r="J73" s="9" t="s">
        <v>1040</v>
      </c>
      <c r="K73" s="9" t="s">
        <v>1107</v>
      </c>
    </row>
    <row r="74" spans="2:11">
      <c r="C74" t="str">
        <f t="shared" si="1"/>
        <v>Podmínky a doporučení pro správné objednání</v>
      </c>
      <c r="D74" s="7" t="s">
        <v>703</v>
      </c>
      <c r="E74" t="s">
        <v>704</v>
      </c>
      <c r="F74" t="s">
        <v>705</v>
      </c>
      <c r="G74" t="s">
        <v>706</v>
      </c>
      <c r="H74" s="16" t="s">
        <v>1127</v>
      </c>
      <c r="I74" t="s">
        <v>1126</v>
      </c>
      <c r="J74" t="s">
        <v>1128</v>
      </c>
      <c r="K74" t="s">
        <v>1129</v>
      </c>
    </row>
    <row r="75" spans="2:11">
      <c r="C75" t="str">
        <f t="shared" si="1"/>
        <v>Pro zjednoduššení práce …</v>
      </c>
      <c r="D75" t="s">
        <v>710</v>
      </c>
      <c r="E75" t="s">
        <v>711</v>
      </c>
      <c r="F75" t="s">
        <v>709</v>
      </c>
      <c r="G75" t="s">
        <v>708</v>
      </c>
      <c r="H75" t="s">
        <v>707</v>
      </c>
      <c r="I75" t="s">
        <v>1122</v>
      </c>
      <c r="J75" t="s">
        <v>1120</v>
      </c>
      <c r="K75" t="s">
        <v>1124</v>
      </c>
    </row>
    <row r="76" spans="2:11">
      <c r="C76" t="str">
        <f t="shared" si="1"/>
        <v>Maximální doporučená šířka zásuvky je 1,6 násobek délky výsuvu</v>
      </c>
      <c r="D76" t="s">
        <v>768</v>
      </c>
      <c r="E76" t="s">
        <v>769</v>
      </c>
      <c r="F76" t="s">
        <v>770</v>
      </c>
      <c r="G76" t="s">
        <v>771</v>
      </c>
      <c r="H76" t="s">
        <v>1108</v>
      </c>
      <c r="I76" t="s">
        <v>1123</v>
      </c>
      <c r="J76" t="s">
        <v>1121</v>
      </c>
      <c r="K76" t="s">
        <v>1125</v>
      </c>
    </row>
  </sheetData>
  <phoneticPr fontId="2" type="noConversion"/>
  <hyperlinks>
    <hyperlink ref="E56" r:id="rId1" xr:uid="{8F2486C9-12C7-44E6-814A-E0906B3843DA}"/>
    <hyperlink ref="D56" r:id="rId2" xr:uid="{35F86764-3746-4675-A519-7CA3D66ADB2B}"/>
    <hyperlink ref="H56" r:id="rId3" xr:uid="{C4A307D4-D926-4D61-8590-78321F367F3C}"/>
    <hyperlink ref="I56" r:id="rId4" xr:uid="{5F8FCDF7-A6F2-4161-B064-6D3A05B6E53F}"/>
    <hyperlink ref="J56" r:id="rId5" xr:uid="{883EBBA7-A94B-4959-B4DC-CA0D41977504}"/>
    <hyperlink ref="K56" r:id="rId6" xr:uid="{7E59F556-9913-4F43-86B7-636A0A2E6A0E}"/>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7C74-C69E-4F8E-87E7-70E3768D5121}">
  <sheetPr codeName="List5"/>
  <dimension ref="A1:AJ303"/>
  <sheetViews>
    <sheetView showGridLines="0" showRowColHeaders="0" zoomScale="90" zoomScaleNormal="90" workbookViewId="0">
      <selection activeCell="G12" sqref="G12"/>
    </sheetView>
  </sheetViews>
  <sheetFormatPr defaultColWidth="0" defaultRowHeight="14.4" zeroHeight="1"/>
  <cols>
    <col min="1" max="1" width="13.77734375" customWidth="1"/>
    <col min="2" max="2" width="6.5546875" customWidth="1"/>
    <col min="3" max="3" width="8" customWidth="1"/>
    <col min="4" max="4" width="16.88671875" customWidth="1"/>
    <col min="5" max="5" width="11.88671875" customWidth="1"/>
    <col min="6" max="6" width="18.6640625" customWidth="1"/>
    <col min="7" max="7" width="24.6640625" customWidth="1"/>
    <col min="8" max="8" width="16.88671875" customWidth="1"/>
    <col min="9" max="9" width="42" customWidth="1"/>
    <col min="10" max="10" width="9.109375" customWidth="1"/>
    <col min="11" max="11" width="7.88671875" customWidth="1"/>
    <col min="12" max="12" width="16.88671875" customWidth="1"/>
    <col min="13" max="13" width="11.88671875" customWidth="1"/>
    <col min="14" max="14" width="18.6640625" customWidth="1"/>
    <col min="15" max="15" width="24.6640625" customWidth="1"/>
    <col min="16" max="16" width="16.88671875" customWidth="1"/>
    <col min="17" max="17" width="7.6640625" customWidth="1"/>
    <col min="18" max="18" width="15" hidden="1" customWidth="1"/>
    <col min="19" max="19" width="15.5546875" hidden="1" customWidth="1"/>
    <col min="20" max="20" width="13" hidden="1" customWidth="1"/>
    <col min="21" max="24" width="9.109375" hidden="1" customWidth="1"/>
    <col min="25" max="25" width="16.5546875" hidden="1" customWidth="1"/>
    <col min="26" max="26" width="9.109375" hidden="1" customWidth="1"/>
    <col min="27" max="27" width="17.5546875" hidden="1" customWidth="1"/>
    <col min="28" max="28" width="13.109375" hidden="1" customWidth="1"/>
    <col min="29" max="29" width="13.44140625" hidden="1" customWidth="1"/>
    <col min="30" max="32" width="9.109375" hidden="1" customWidth="1"/>
    <col min="33" max="33" width="16.88671875" hidden="1" customWidth="1"/>
    <col min="34" max="16384" width="9.109375" hidden="1"/>
  </cols>
  <sheetData>
    <row r="1" spans="1:33"/>
    <row r="2" spans="1:33" s="7" customFormat="1" ht="15" customHeight="1">
      <c r="A2" s="12"/>
      <c r="B2" s="12"/>
      <c r="C2" s="12"/>
      <c r="D2" s="12"/>
      <c r="E2" s="12"/>
      <c r="F2" s="12"/>
      <c r="G2" s="12"/>
      <c r="H2" s="12"/>
      <c r="I2" s="12"/>
      <c r="J2" s="12"/>
      <c r="K2" s="12"/>
      <c r="L2" s="12"/>
      <c r="M2" s="82" t="str">
        <f>Překlady!C7</f>
        <v>Úvod</v>
      </c>
      <c r="N2" s="82"/>
      <c r="O2"/>
      <c r="R2" s="30"/>
      <c r="S2" s="30"/>
      <c r="T2" s="30"/>
    </row>
    <row r="3" spans="1:33" s="7" customFormat="1" ht="10.5" customHeight="1">
      <c r="A3" s="12"/>
      <c r="B3" s="12"/>
      <c r="C3" s="12"/>
      <c r="D3" s="12"/>
      <c r="E3" s="12"/>
      <c r="F3" s="12"/>
      <c r="G3" s="12"/>
      <c r="H3" s="12"/>
      <c r="I3" s="12"/>
      <c r="J3" s="12"/>
      <c r="K3" s="12"/>
      <c r="L3" s="12"/>
      <c r="M3" s="82"/>
      <c r="N3" s="82"/>
      <c r="O3"/>
      <c r="Q3" s="31"/>
      <c r="R3" s="30"/>
      <c r="S3" s="30"/>
      <c r="T3" s="30"/>
    </row>
    <row r="4" spans="1:33">
      <c r="AG4" t="s">
        <v>583</v>
      </c>
    </row>
    <row r="5" spans="1:33">
      <c r="I5" s="109" t="e" vm="1">
        <f>VLOOKUP(Překlady!D1,nákresy!A9:C16,3,0)</f>
        <v>#VALUE!</v>
      </c>
      <c r="J5" s="109"/>
      <c r="K5" s="109"/>
      <c r="V5" t="s">
        <v>596</v>
      </c>
      <c r="W5" t="s">
        <v>598</v>
      </c>
      <c r="X5" t="s">
        <v>600</v>
      </c>
      <c r="Y5" t="s">
        <v>602</v>
      </c>
      <c r="Z5" t="s">
        <v>678</v>
      </c>
      <c r="AA5" t="str">
        <f>Překlady!C31</f>
        <v>bílá</v>
      </c>
      <c r="AC5" t="s">
        <v>603</v>
      </c>
      <c r="AD5" t="s">
        <v>596</v>
      </c>
      <c r="AG5" t="str">
        <f>Překlady!C67</f>
        <v>ano</v>
      </c>
    </row>
    <row r="6" spans="1:33">
      <c r="I6" s="109"/>
      <c r="J6" s="109"/>
      <c r="K6" s="109"/>
      <c r="V6">
        <v>89</v>
      </c>
      <c r="W6">
        <v>89</v>
      </c>
      <c r="X6">
        <v>89</v>
      </c>
      <c r="Y6">
        <v>89</v>
      </c>
      <c r="Z6">
        <v>59</v>
      </c>
      <c r="AA6" t="str">
        <f>Překlady!C32</f>
        <v>černá</v>
      </c>
      <c r="AC6" t="s">
        <v>597</v>
      </c>
      <c r="AD6" t="s">
        <v>598</v>
      </c>
      <c r="AG6" t="str">
        <f>Překlady!C68</f>
        <v>ne</v>
      </c>
    </row>
    <row r="7" spans="1:33">
      <c r="I7" s="109"/>
      <c r="J7" s="109"/>
      <c r="K7" s="109"/>
      <c r="W7">
        <v>121</v>
      </c>
      <c r="X7">
        <v>121</v>
      </c>
      <c r="Y7">
        <v>121</v>
      </c>
      <c r="Z7">
        <v>91</v>
      </c>
      <c r="AA7" t="str">
        <f>Překlady!C33</f>
        <v>tmavě šedá</v>
      </c>
      <c r="AC7" t="s">
        <v>599</v>
      </c>
      <c r="AD7" t="s">
        <v>600</v>
      </c>
      <c r="AG7" t="str">
        <f>Překlady!C35</f>
        <v>nelze varianta se sklem</v>
      </c>
    </row>
    <row r="8" spans="1:33">
      <c r="B8" s="68" t="str">
        <f>Překlady!C29</f>
        <v>Rozměry korpusu v mm</v>
      </c>
      <c r="C8" s="68"/>
      <c r="D8" s="68"/>
      <c r="E8" s="68"/>
      <c r="F8" s="68"/>
      <c r="G8" s="68"/>
      <c r="H8" s="1"/>
      <c r="I8" s="109"/>
      <c r="J8" s="109"/>
      <c r="K8" s="109"/>
      <c r="M8" s="24"/>
      <c r="X8">
        <v>185</v>
      </c>
      <c r="Y8">
        <v>185</v>
      </c>
      <c r="Z8">
        <v>155</v>
      </c>
      <c r="AC8" t="s">
        <v>601</v>
      </c>
      <c r="AD8" t="s">
        <v>602</v>
      </c>
    </row>
    <row r="9" spans="1:33">
      <c r="B9" s="104" t="str">
        <f>Překlady!C9</f>
        <v>Výška korpusu (A)</v>
      </c>
      <c r="C9" s="105"/>
      <c r="D9" s="105"/>
      <c r="E9" s="105"/>
      <c r="F9" s="106"/>
      <c r="G9" s="69"/>
      <c r="H9" s="1"/>
      <c r="I9" s="109"/>
      <c r="J9" s="109"/>
      <c r="K9" s="109"/>
      <c r="M9" s="2"/>
      <c r="Y9">
        <v>249</v>
      </c>
      <c r="Z9">
        <v>219</v>
      </c>
    </row>
    <row r="10" spans="1:33">
      <c r="B10" s="104" t="str">
        <f>Překlady!C10</f>
        <v>Šířka korpusu (B)</v>
      </c>
      <c r="C10" s="105"/>
      <c r="D10" s="105"/>
      <c r="E10" s="105"/>
      <c r="F10" s="106"/>
      <c r="G10" s="69"/>
      <c r="H10" s="1"/>
      <c r="I10" s="109"/>
      <c r="J10" s="109"/>
      <c r="K10" s="109"/>
      <c r="M10" s="24"/>
    </row>
    <row r="11" spans="1:33" ht="28.2" customHeight="1">
      <c r="B11" s="122" t="str">
        <f>Překlady!C76</f>
        <v>Maximální doporučená šířka zásuvky je 1,6 násobek délky výsuvu</v>
      </c>
      <c r="C11" s="123"/>
      <c r="D11" s="123"/>
      <c r="E11" s="123"/>
      <c r="F11" s="123"/>
      <c r="G11" s="124"/>
      <c r="H11" s="1"/>
      <c r="I11" s="109"/>
      <c r="J11" s="109"/>
      <c r="K11" s="109"/>
      <c r="M11" s="24"/>
    </row>
    <row r="12" spans="1:33">
      <c r="B12" s="104" t="str">
        <f>Překlady!C11</f>
        <v>Tloušťka dna a půdy (C)</v>
      </c>
      <c r="C12" s="105"/>
      <c r="D12" s="105"/>
      <c r="E12" s="105"/>
      <c r="F12" s="106"/>
      <c r="G12" s="69"/>
      <c r="H12" s="1"/>
      <c r="I12" s="109"/>
      <c r="J12" s="109"/>
      <c r="K12" s="109"/>
      <c r="M12" s="24"/>
    </row>
    <row r="13" spans="1:33">
      <c r="B13" s="104" t="str">
        <f>Překlady!C12</f>
        <v>Tloušťka boků (D)</v>
      </c>
      <c r="C13" s="105"/>
      <c r="D13" s="105"/>
      <c r="E13" s="105"/>
      <c r="F13" s="106"/>
      <c r="G13" s="69"/>
      <c r="H13" s="1"/>
      <c r="I13" s="109"/>
      <c r="J13" s="109"/>
      <c r="K13" s="109"/>
    </row>
    <row r="14" spans="1:33">
      <c r="B14" s="104" t="str">
        <f>Překlady!C13</f>
        <v>Mezera nahoře (E)</v>
      </c>
      <c r="C14" s="105"/>
      <c r="D14" s="105"/>
      <c r="E14" s="105"/>
      <c r="F14" s="106"/>
      <c r="G14" s="70"/>
      <c r="H14" s="1"/>
      <c r="I14" s="109"/>
      <c r="J14" s="109"/>
      <c r="K14" s="109"/>
    </row>
    <row r="15" spans="1:33">
      <c r="B15" s="104" t="str">
        <f>Překlady!C14</f>
        <v>Mezera mezi čely (F)</v>
      </c>
      <c r="C15" s="105"/>
      <c r="D15" s="105"/>
      <c r="E15" s="105"/>
      <c r="F15" s="106"/>
      <c r="G15" s="70"/>
      <c r="H15" s="43"/>
      <c r="I15" s="109"/>
      <c r="J15" s="109"/>
      <c r="K15" s="109"/>
    </row>
    <row r="16" spans="1:33">
      <c r="B16" s="104" t="str">
        <f>Překlady!C15</f>
        <v>Mezera dole (G)</v>
      </c>
      <c r="C16" s="105"/>
      <c r="D16" s="105"/>
      <c r="E16" s="105"/>
      <c r="F16" s="106"/>
      <c r="G16" s="70"/>
      <c r="H16" s="43"/>
      <c r="I16" s="109"/>
      <c r="J16" s="109"/>
      <c r="K16" s="109"/>
    </row>
    <row r="17" spans="1:36">
      <c r="B17" s="104" t="str">
        <f>Překlady!C16</f>
        <v>Mezera na stranách (H)</v>
      </c>
      <c r="C17" s="105"/>
      <c r="D17" s="105"/>
      <c r="E17" s="105"/>
      <c r="F17" s="106"/>
      <c r="G17" s="70"/>
      <c r="H17" s="43"/>
      <c r="I17" s="109"/>
      <c r="J17" s="109"/>
      <c r="K17" s="109"/>
    </row>
    <row r="18" spans="1:36">
      <c r="B18" s="104" t="str">
        <f>Překlady!C17</f>
        <v>Délka výsuvů</v>
      </c>
      <c r="C18" s="105"/>
      <c r="D18" s="105"/>
      <c r="E18" s="105"/>
      <c r="F18" s="106"/>
      <c r="G18" s="69"/>
      <c r="H18" s="43"/>
      <c r="I18" s="109"/>
      <c r="J18" s="109"/>
      <c r="K18" s="109"/>
    </row>
    <row r="19" spans="1:36">
      <c r="B19" s="104" t="str">
        <f>Překlady!C18</f>
        <v>Počet zásuvek</v>
      </c>
      <c r="C19" s="105"/>
      <c r="D19" s="105"/>
      <c r="E19" s="105"/>
      <c r="F19" s="106"/>
      <c r="G19" s="69"/>
      <c r="H19" s="1"/>
      <c r="I19" s="109"/>
      <c r="J19" s="109"/>
      <c r="K19" s="109"/>
    </row>
    <row r="20" spans="1:36">
      <c r="B20" s="104" t="str">
        <f>Překlady!C20</f>
        <v>Bude čelo s úchytovým profilem?</v>
      </c>
      <c r="C20" s="105"/>
      <c r="D20" s="105"/>
      <c r="E20" s="105"/>
      <c r="F20" s="106"/>
      <c r="G20" s="69"/>
      <c r="H20" s="1"/>
      <c r="I20" s="109"/>
      <c r="J20" s="109"/>
      <c r="K20" s="109"/>
    </row>
    <row r="21" spans="1:36">
      <c r="B21" s="104">
        <f>IF(G20=AG5,Překlady!C21,0)</f>
        <v>0</v>
      </c>
      <c r="C21" s="105"/>
      <c r="D21" s="105"/>
      <c r="E21" s="105"/>
      <c r="F21" s="106"/>
      <c r="G21" s="69"/>
      <c r="H21" s="1"/>
      <c r="I21" s="109"/>
      <c r="J21" s="109"/>
      <c r="K21" s="109"/>
    </row>
    <row r="22" spans="1:36">
      <c r="B22" s="104" t="str">
        <f>Překlady!C19</f>
        <v>Dopočet výšky čílek</v>
      </c>
      <c r="C22" s="105"/>
      <c r="D22" s="105"/>
      <c r="E22" s="105"/>
      <c r="F22" s="106"/>
      <c r="G22" s="71">
        <f>(IF($G19&gt;0,G9-AG26,0))-D31-D30-D29-D28-D27</f>
        <v>0</v>
      </c>
      <c r="H22" s="1"/>
      <c r="I22" s="109"/>
      <c r="J22" s="109"/>
      <c r="K22" s="109"/>
    </row>
    <row r="23" spans="1:36">
      <c r="I23" s="109"/>
      <c r="J23" s="109"/>
      <c r="K23" s="109"/>
    </row>
    <row r="24" spans="1:36"/>
    <row r="25" spans="1:36" ht="15" customHeight="1">
      <c r="B25" s="98" t="str">
        <f>Překlady!C27</f>
        <v>Pozice výsuvu</v>
      </c>
      <c r="C25" s="98"/>
      <c r="D25" s="98" t="str">
        <f>IF(G20=AG5,Překlady!C66,Překlady!C28)</f>
        <v>Výška čílka</v>
      </c>
      <c r="E25" s="98" t="str">
        <f>Překlady!C30</f>
        <v>Vyberte barvu</v>
      </c>
      <c r="F25" s="98" t="str">
        <f>Překlady!C34</f>
        <v>Vyberte výšku bočnice</v>
      </c>
      <c r="G25" s="98" t="str">
        <f>Překlady!C69</f>
        <v>Skleněná bočnice ano/ne</v>
      </c>
      <c r="H25" s="97" t="str">
        <f>Překlady!C72</f>
        <v>Kód kompletu</v>
      </c>
      <c r="I25" s="97" t="str">
        <f>Překlady!C73</f>
        <v>Název kompletu</v>
      </c>
      <c r="J25" s="97"/>
      <c r="K25" s="97"/>
    </row>
    <row r="26" spans="1:36">
      <c r="B26" s="98"/>
      <c r="C26" s="98"/>
      <c r="D26" s="98"/>
      <c r="E26" s="98"/>
      <c r="F26" s="98"/>
      <c r="G26" s="98"/>
      <c r="H26" s="97"/>
      <c r="I26" s="97"/>
      <c r="J26" s="97"/>
      <c r="K26" s="97"/>
      <c r="Z26" t="s">
        <v>589</v>
      </c>
      <c r="AG26">
        <f>SUM($AG$27:$AG$31)</f>
        <v>0</v>
      </c>
    </row>
    <row r="27" spans="1:36">
      <c r="A27" s="110" t="str">
        <f>Překlady!C37</f>
        <v>Vyplňujte vždy sdola</v>
      </c>
      <c r="B27" s="111" t="str">
        <f>IF(AND($G$19&gt;4,$G$19&lt;6),Překlady!C26,"")</f>
        <v/>
      </c>
      <c r="C27" s="111"/>
      <c r="D27" s="72"/>
      <c r="E27" s="113"/>
      <c r="F27" s="73"/>
      <c r="G27" s="74"/>
      <c r="H27" s="75" t="str">
        <f>IFERROR(VLOOKUP(AJ27,Karty!$O:$P,2,0),"")</f>
        <v/>
      </c>
      <c r="I27" s="108" t="str">
        <f>IFERROR(VLOOKUP(AJ27,Karty!$O:$Q,3,0),"")</f>
        <v/>
      </c>
      <c r="J27" s="108"/>
      <c r="K27" s="108"/>
      <c r="V27" t="str">
        <f>_xlfn.CONCAT(E27,"_","sklo_ano",F27)</f>
        <v>_sklo_ano</v>
      </c>
      <c r="W27">
        <f>COUNTIF(Karty!$O$3:$P$98,V27)</f>
        <v>0</v>
      </c>
      <c r="Y27" t="e">
        <f>VLOOKUP(G19,AB35:AG39,6,0)</f>
        <v>#N/A</v>
      </c>
      <c r="Z27" t="e">
        <f>VLOOKUP(Y27,$Y$34:$Z$39,2,0)</f>
        <v>#N/A</v>
      </c>
      <c r="AA27" t="e">
        <f>IF(Z27&gt;272,"89/121/185/249",IF(Z27&gt;206,"89/121/185",IF(Z27&gt;144,"89/121", IF(Z27&gt;112,"89", "nelze"))))</f>
        <v>#N/A</v>
      </c>
      <c r="AB27" t="e">
        <f>VLOOKUP(AA27,$AC$5:$AD$8,2,0)</f>
        <v>#N/A</v>
      </c>
      <c r="AD27" t="s">
        <v>33</v>
      </c>
      <c r="AG27">
        <f>IF(G19=5,(G14+(4*G15)+G16),0)</f>
        <v>0</v>
      </c>
      <c r="AI27" t="str">
        <f t="shared" ref="AI27:AI30" si="0">IF(G27=$AG$5,"ano",IF(G27=$AG$6,"ne",IF(G27=$AG$7,"ne","")))</f>
        <v/>
      </c>
      <c r="AJ27" t="str">
        <f t="shared" ref="AJ27" si="1">_xlfn.CONCAT(E27,"_","sklo_",AI27,"_",F27,"_",$G$18)</f>
        <v>_sklo___</v>
      </c>
    </row>
    <row r="28" spans="1:36">
      <c r="A28" s="110"/>
      <c r="B28" s="111" t="str">
        <f>IF(AND($G$19&gt;3,$G$19&lt;6),Překlady!C25,"")</f>
        <v/>
      </c>
      <c r="C28" s="111"/>
      <c r="D28" s="72"/>
      <c r="E28" s="114"/>
      <c r="F28" s="73"/>
      <c r="G28" s="74"/>
      <c r="H28" s="75" t="str">
        <f>IFERROR(VLOOKUP(AJ28,Karty!$O:$P,2,0),"")</f>
        <v/>
      </c>
      <c r="I28" s="108" t="str">
        <f>IFERROR(VLOOKUP(AJ28,Karty!$O:$Q,3,0),"")</f>
        <v/>
      </c>
      <c r="J28" s="108"/>
      <c r="K28" s="108"/>
      <c r="V28" s="27" t="str">
        <f>_xlfn.CONCAT(E27,"_","sklo_ano_",F28,"_",$G$18)</f>
        <v>_sklo_ano__</v>
      </c>
      <c r="W28">
        <f>COUNTIF(Karty!$O$3:$P$98,V28)</f>
        <v>0</v>
      </c>
      <c r="Y28" t="e">
        <f>VLOOKUP(G19,AB35:AG39,5,0)</f>
        <v>#N/A</v>
      </c>
      <c r="Z28" t="e">
        <f>VLOOKUP(Y28,$Y$34:$Z$39,2,0)</f>
        <v>#N/A</v>
      </c>
      <c r="AA28" t="e">
        <f>IF(Z28&gt;272,"89/121/185/249",IF(Z28&gt;206,"89/121/185",IF(Z28&gt;144,"89/121", IF(Z28&gt;112,"89", "nelze"))))</f>
        <v>#N/A</v>
      </c>
      <c r="AB28" t="e">
        <f>VLOOKUP(AA28,$AC$5:$AD$8,2,0)</f>
        <v>#N/A</v>
      </c>
      <c r="AD28" t="s">
        <v>33</v>
      </c>
      <c r="AG28">
        <f>IF(G19=4,(G14+(3*G15)+G16),0)</f>
        <v>0</v>
      </c>
      <c r="AI28" t="str">
        <f t="shared" si="0"/>
        <v/>
      </c>
      <c r="AJ28" t="str">
        <f>_xlfn.CONCAT(E27,"_","sklo_",AI28,"_",F28,"_",$G$18)</f>
        <v>_sklo___</v>
      </c>
    </row>
    <row r="29" spans="1:36">
      <c r="A29" s="110"/>
      <c r="B29" s="111" t="str">
        <f>IF(AND($G$19&gt;2,$G$19&lt;6),Překlady!C24,"")</f>
        <v/>
      </c>
      <c r="C29" s="111"/>
      <c r="D29" s="72"/>
      <c r="E29" s="114"/>
      <c r="F29" s="73"/>
      <c r="G29" s="74"/>
      <c r="H29" s="75" t="str">
        <f>IFERROR(VLOOKUP(AJ29,Karty!$O:$P,2,0),"")</f>
        <v/>
      </c>
      <c r="I29" s="108" t="str">
        <f>IFERROR(VLOOKUP(AJ29,Karty!$O:$Q,3,0),"")</f>
        <v/>
      </c>
      <c r="J29" s="108"/>
      <c r="K29" s="108"/>
      <c r="V29" s="27" t="str">
        <f>_xlfn.CONCAT(E27,"_","sklo_ano_",F29,"_",$G$18)</f>
        <v>_sklo_ano__</v>
      </c>
      <c r="W29">
        <f>COUNTIF(Karty!$O$3:$P$98,V29)</f>
        <v>0</v>
      </c>
      <c r="Y29" t="e">
        <f>VLOOKUP(G19,AB35:AG39,4,0)</f>
        <v>#N/A</v>
      </c>
      <c r="Z29" t="e">
        <f>VLOOKUP(Y29,$Y$34:$Z$39,2,0)</f>
        <v>#N/A</v>
      </c>
      <c r="AA29" t="e">
        <f>IF(Z29&gt;272,"89/121/185/249",IF(Z29&gt;206,"89/121/185",IF(Z29&gt;144,"89/121", IF(Z29&gt;112,"89", "nelze"))))</f>
        <v>#N/A</v>
      </c>
      <c r="AB29" t="e">
        <f>VLOOKUP(AA29,$AC$5:$AD$8,2,0)</f>
        <v>#N/A</v>
      </c>
      <c r="AD29" t="s">
        <v>33</v>
      </c>
      <c r="AG29">
        <f>IF(G19=3,(G14+(2*G15)+G16),0)</f>
        <v>0</v>
      </c>
      <c r="AI29" t="str">
        <f t="shared" si="0"/>
        <v/>
      </c>
      <c r="AJ29" t="str">
        <f>_xlfn.CONCAT(E27,"_","sklo_",AI29,"_",F29,"_",$G$18)</f>
        <v>_sklo___</v>
      </c>
    </row>
    <row r="30" spans="1:36">
      <c r="A30" s="110"/>
      <c r="B30" s="111" t="str">
        <f>IF(AND($G$19&gt;1,$G$19&lt;6),Překlady!C23,"")</f>
        <v/>
      </c>
      <c r="C30" s="111"/>
      <c r="D30" s="72"/>
      <c r="E30" s="114"/>
      <c r="F30" s="73"/>
      <c r="G30" s="74"/>
      <c r="H30" s="75" t="str">
        <f>IFERROR(VLOOKUP(AJ30,Karty!$O:$P,2,0),"")</f>
        <v/>
      </c>
      <c r="I30" s="108" t="str">
        <f>IFERROR(VLOOKUP(AJ30,Karty!$O:$Q,3,0),"")</f>
        <v/>
      </c>
      <c r="J30" s="108"/>
      <c r="K30" s="108"/>
      <c r="V30" s="27" t="str">
        <f>_xlfn.CONCAT(E27,"_","sklo_ano_",F30,"_",$G$18)</f>
        <v>_sklo_ano__</v>
      </c>
      <c r="W30">
        <f>COUNTIF(Karty!$O$3:$P$98,V30)</f>
        <v>0</v>
      </c>
      <c r="Y30" t="e">
        <f>VLOOKUP(G19,AB35:AD39,3,0)</f>
        <v>#N/A</v>
      </c>
      <c r="Z30" t="e">
        <f>VLOOKUP(Y30,$Y$34:$Z$39,2,0)</f>
        <v>#N/A</v>
      </c>
      <c r="AA30" t="e">
        <f>IF(Z30&gt;272,"89/121/185/249",IF(Z30&gt;206,"89/121/185",IF(Z30&gt;144,"89/121", IF(Z30&gt;112,"89", "nelze"))))</f>
        <v>#N/A</v>
      </c>
      <c r="AB30" t="e">
        <f>VLOOKUP(AA30,$AC$5:$AD$8,2,0)</f>
        <v>#N/A</v>
      </c>
      <c r="AD30" t="s">
        <v>33</v>
      </c>
      <c r="AG30">
        <f>IF(G19=2,(G14+G15+G16),0)</f>
        <v>0</v>
      </c>
      <c r="AI30" t="str">
        <f t="shared" si="0"/>
        <v/>
      </c>
      <c r="AJ30" t="str">
        <f>_xlfn.CONCAT(E27,"_","sklo_",AI30,"_",F30,"_",$G$18)</f>
        <v>_sklo___</v>
      </c>
    </row>
    <row r="31" spans="1:36">
      <c r="A31" s="110"/>
      <c r="B31" s="111" t="str">
        <f>IF(AND($G$19&gt;0,G19&lt;6),Překlady!C22,"")</f>
        <v/>
      </c>
      <c r="C31" s="111"/>
      <c r="D31" s="73"/>
      <c r="E31" s="115"/>
      <c r="F31" s="73"/>
      <c r="G31" s="74"/>
      <c r="H31" s="75" t="str">
        <f>IFERROR(VLOOKUP(AJ31,Karty!$O:$P,2,0),"")</f>
        <v/>
      </c>
      <c r="I31" s="108" t="str">
        <f>IFERROR(VLOOKUP(AJ31,Karty!$O:$Q,3,0),"")</f>
        <v/>
      </c>
      <c r="J31" s="108"/>
      <c r="K31" s="108"/>
      <c r="V31" s="27" t="str">
        <f>_xlfn.CONCAT(E27,"_","sklo_ano_",F31,"_",$G$18)</f>
        <v>_sklo_ano__</v>
      </c>
      <c r="W31">
        <f>COUNTIF(Karty!$O$3:$P$98,V31)</f>
        <v>0</v>
      </c>
      <c r="Y31" t="e">
        <f>VLOOKUP(G19,AB35:AC39,2,0)</f>
        <v>#N/A</v>
      </c>
      <c r="Z31" t="e">
        <f>VLOOKUP(Y31,$Y$34:$Z$39,2,0)</f>
        <v>#N/A</v>
      </c>
      <c r="AA31" t="e">
        <f>IF(Z31&gt;272,"89/121/185/249",IF(Z31&gt;206,"89/121/185",IF(Z31&gt;144,"89/121", IF(Z31&gt;112,"89", "nelze"))))</f>
        <v>#N/A</v>
      </c>
      <c r="AB31" t="e">
        <f>VLOOKUP(AA31,$AC$5:$AD$8,2,0)</f>
        <v>#N/A</v>
      </c>
      <c r="AD31" t="s">
        <v>33</v>
      </c>
      <c r="AG31">
        <f>IF(G19=1,(G14+G16),0)</f>
        <v>0</v>
      </c>
      <c r="AI31" t="str">
        <f>IF(G31=$AG$5,"ano",IF(G31=$AG$6,"ne",IF(G31=$AG$7,"ne","")))</f>
        <v/>
      </c>
      <c r="AJ31" t="str">
        <f>_xlfn.CONCAT(E27,"_","sklo_",AI31,"_",F31,"_",$G$18)</f>
        <v>_sklo___</v>
      </c>
    </row>
    <row r="32" spans="1:36">
      <c r="D32" s="37"/>
      <c r="E32" s="37"/>
      <c r="F32" s="37"/>
      <c r="G32" s="37"/>
      <c r="H32" s="37"/>
      <c r="I32" s="37"/>
      <c r="J32" s="37"/>
      <c r="K32" s="37"/>
      <c r="AD32" t="s">
        <v>34</v>
      </c>
      <c r="AG32">
        <f>IF(G20="ano",G21, 0)</f>
        <v>0</v>
      </c>
    </row>
    <row r="33" spans="2:33">
      <c r="B33" s="6" t="str">
        <f>Překlady!C70</f>
        <v>Pozn: vyplňujte zleva doprava</v>
      </c>
    </row>
    <row r="34" spans="2:33" ht="15" customHeight="1">
      <c r="B34" s="6" t="str">
        <f>Překlady!C71</f>
        <v>Pozn: pokud uděláte změnu, vyplňte vše znovu, jinak bude formulář pracovat s nesprávnými daty</v>
      </c>
      <c r="D34" s="2"/>
      <c r="Y34" t="s">
        <v>586</v>
      </c>
      <c r="Z34" s="2">
        <f>G9-G14-G16</f>
        <v>0</v>
      </c>
      <c r="AC34" t="s">
        <v>28</v>
      </c>
      <c r="AD34" t="s">
        <v>29</v>
      </c>
      <c r="AE34" t="s">
        <v>30</v>
      </c>
      <c r="AF34" t="s">
        <v>31</v>
      </c>
      <c r="AG34" t="s">
        <v>32</v>
      </c>
    </row>
    <row r="35" spans="2:33" ht="15" customHeight="1">
      <c r="Y35" t="s">
        <v>587</v>
      </c>
      <c r="Z35" s="2">
        <f>D31-(G15/2)-(G12-G16)</f>
        <v>0</v>
      </c>
      <c r="AB35">
        <v>1</v>
      </c>
      <c r="AC35" t="s">
        <v>586</v>
      </c>
    </row>
    <row r="36" spans="2:33" ht="15" customHeight="1">
      <c r="Y36" t="s">
        <v>590</v>
      </c>
      <c r="Z36" s="2">
        <f>D30</f>
        <v>0</v>
      </c>
      <c r="AB36">
        <v>2</v>
      </c>
      <c r="AC36" t="s">
        <v>587</v>
      </c>
      <c r="AD36" t="s">
        <v>588</v>
      </c>
    </row>
    <row r="37" spans="2:33" ht="18.75" customHeight="1">
      <c r="B37" s="107" t="str">
        <f>Překlady!C52</f>
        <v>Zpět</v>
      </c>
      <c r="C37" s="107"/>
      <c r="D37" s="107"/>
      <c r="Y37" t="s">
        <v>591</v>
      </c>
      <c r="Z37" s="2">
        <f>D29</f>
        <v>0</v>
      </c>
      <c r="AB37">
        <v>3</v>
      </c>
      <c r="AC37" t="s">
        <v>587</v>
      </c>
      <c r="AD37" t="s">
        <v>590</v>
      </c>
      <c r="AE37" t="s">
        <v>588</v>
      </c>
    </row>
    <row r="38" spans="2:33" ht="18.75" customHeight="1">
      <c r="B38" s="107"/>
      <c r="C38" s="107"/>
      <c r="D38" s="107"/>
      <c r="Y38" t="s">
        <v>592</v>
      </c>
      <c r="Z38" s="2">
        <f>D28</f>
        <v>0</v>
      </c>
      <c r="AB38">
        <v>4</v>
      </c>
      <c r="AC38" t="s">
        <v>587</v>
      </c>
      <c r="AD38" t="s">
        <v>590</v>
      </c>
      <c r="AE38" t="s">
        <v>591</v>
      </c>
      <c r="AF38" t="s">
        <v>588</v>
      </c>
    </row>
    <row r="39" spans="2:33">
      <c r="Y39" t="s">
        <v>588</v>
      </c>
      <c r="Z39" s="2">
        <f>Z40-(G12-G14)</f>
        <v>0</v>
      </c>
      <c r="AB39">
        <v>5</v>
      </c>
      <c r="AC39" t="s">
        <v>587</v>
      </c>
      <c r="AD39" t="s">
        <v>590</v>
      </c>
      <c r="AE39" t="s">
        <v>591</v>
      </c>
      <c r="AF39" t="s">
        <v>592</v>
      </c>
      <c r="AG39" t="s">
        <v>588</v>
      </c>
    </row>
    <row r="40" spans="2:33">
      <c r="G40" s="24"/>
      <c r="Z40">
        <f>IF(G19=2,D30,(IF(G19=3,D29,(IF(G19=4,D28,D27)))))</f>
        <v>0</v>
      </c>
    </row>
    <row r="41" spans="2:33"/>
    <row r="42" spans="2:33"/>
    <row r="43" spans="2:33"/>
    <row r="44" spans="2:33" ht="18">
      <c r="B44" s="44"/>
      <c r="M44" s="9"/>
      <c r="N44" s="10"/>
      <c r="O44" s="10"/>
    </row>
    <row r="45" spans="2:33" ht="18">
      <c r="B45" s="44"/>
      <c r="H45" s="7"/>
      <c r="M45" s="9"/>
      <c r="N45" s="10"/>
      <c r="O45" s="10"/>
    </row>
    <row r="46" spans="2:33" ht="21">
      <c r="B46" s="76" t="str">
        <f>Překlady!C36</f>
        <v>Vrtání boku korpusu</v>
      </c>
      <c r="H46" s="7"/>
      <c r="M46" s="9"/>
      <c r="N46" s="2"/>
    </row>
    <row r="47" spans="2:33">
      <c r="H47" s="7"/>
      <c r="M47" s="9"/>
      <c r="N47" s="2"/>
    </row>
    <row r="48" spans="2:33" ht="18">
      <c r="B48" s="7"/>
      <c r="C48" s="7"/>
      <c r="D48" s="7"/>
      <c r="E48" s="7"/>
      <c r="F48" s="7"/>
      <c r="H48" s="23"/>
      <c r="M48" s="9"/>
      <c r="N48" s="2"/>
    </row>
    <row r="49" spans="1:19" ht="18">
      <c r="A49" s="121" t="str">
        <f>Překlady!C38</f>
        <v>Výška otvorů od dna korpusu</v>
      </c>
      <c r="B49" s="7"/>
      <c r="C49" s="7"/>
      <c r="D49" s="7"/>
      <c r="E49" s="7"/>
      <c r="F49" s="7"/>
      <c r="H49" s="67" t="str">
        <f>Překlady!C59</f>
        <v>Přířez dna:</v>
      </c>
      <c r="M49" s="9"/>
      <c r="N49" s="2"/>
    </row>
    <row r="50" spans="1:19" ht="21.75" customHeight="1">
      <c r="A50" s="121"/>
      <c r="B50" s="50" t="str">
        <f>IF(G19=5,D28-37-5+$G$15+5+37+B53,"")</f>
        <v/>
      </c>
      <c r="C50" s="7"/>
      <c r="D50" s="7"/>
      <c r="E50" s="7"/>
      <c r="F50" s="7"/>
      <c r="M50" s="9"/>
      <c r="N50" s="2"/>
    </row>
    <row r="51" spans="1:19" ht="18">
      <c r="A51" s="121"/>
      <c r="B51" s="51"/>
      <c r="C51" s="7"/>
      <c r="D51" s="7"/>
      <c r="E51" s="7"/>
      <c r="F51" s="7"/>
      <c r="H51" s="23" t="str">
        <f>IF(G18&gt;0,(G10-(2*G13)-21&amp;" x "&amp;G18-20&amp;" mm"),"")</f>
        <v/>
      </c>
      <c r="M51" s="9"/>
    </row>
    <row r="52" spans="1:19">
      <c r="A52" s="121"/>
      <c r="B52" s="51"/>
      <c r="C52" s="7"/>
      <c r="D52" s="7"/>
      <c r="E52" s="7"/>
      <c r="F52" s="7"/>
      <c r="H52" s="7"/>
      <c r="M52" s="9"/>
    </row>
    <row r="53" spans="1:19" ht="18">
      <c r="A53" s="121"/>
      <c r="B53" s="52" t="str">
        <f>IF(G19&gt;3,D29-37-5+$G$15+5+37+B56,"")</f>
        <v/>
      </c>
      <c r="C53" s="7"/>
      <c r="D53" s="7"/>
      <c r="E53" s="7"/>
      <c r="F53" s="7"/>
      <c r="H53" s="23"/>
    </row>
    <row r="54" spans="1:19" ht="18">
      <c r="A54" s="121"/>
      <c r="B54" s="51"/>
      <c r="C54" s="7"/>
      <c r="D54" s="7"/>
      <c r="E54" s="7"/>
      <c r="F54" s="7"/>
      <c r="H54" s="67" t="str">
        <f>Překlady!C58</f>
        <v>Přířez zad:</v>
      </c>
      <c r="I54" s="23"/>
    </row>
    <row r="55" spans="1:19" ht="18">
      <c r="A55" s="121"/>
      <c r="B55" s="51"/>
      <c r="C55" s="7"/>
      <c r="D55" s="7"/>
      <c r="E55" s="7"/>
      <c r="F55" s="7"/>
      <c r="H55" s="23" t="str">
        <f>Překlady!C60</f>
        <v>(pro správný výpočet musí být zvolena výška bočnice v tabulce výše)</v>
      </c>
      <c r="I55" s="23"/>
    </row>
    <row r="56" spans="1:19" ht="15.75" customHeight="1">
      <c r="A56" s="121"/>
      <c r="B56" s="52" t="str">
        <f>IF(G19&gt;2,B59-37-5+D30+G15+5+37,"")</f>
        <v/>
      </c>
      <c r="C56" s="7"/>
      <c r="D56" s="7"/>
      <c r="E56" s="7"/>
      <c r="F56" s="7"/>
      <c r="H56" s="45"/>
      <c r="I56" s="23"/>
    </row>
    <row r="57" spans="1:19" ht="18">
      <c r="A57" s="121"/>
      <c r="B57" s="51"/>
      <c r="C57" s="7"/>
      <c r="D57" s="7"/>
      <c r="E57" s="7"/>
      <c r="F57" s="7"/>
      <c r="H57" s="46" t="str">
        <f>IF(AND($G$19&gt;4, $G$19&lt;6),Překlady!C26, " ")</f>
        <v xml:space="preserve"> </v>
      </c>
      <c r="I57" s="47" t="str">
        <f>IF(AND($G$19&gt;4, G19&lt;6),G10-(2*G13)-42&amp;" x "&amp;VLOOKUP(F27,Y6:Z9,2,0)&amp;" mm","")</f>
        <v/>
      </c>
    </row>
    <row r="58" spans="1:19" ht="18">
      <c r="A58" s="121"/>
      <c r="B58" s="51"/>
      <c r="C58" s="7"/>
      <c r="D58" s="7"/>
      <c r="E58" s="7"/>
      <c r="F58" s="7"/>
      <c r="H58" s="45" t="str">
        <f>IF(AND($G$19&gt;3, $G$19&lt;6),Překlady!C25, " ")</f>
        <v xml:space="preserve"> </v>
      </c>
      <c r="I58" s="23" t="str">
        <f>IF(AND($G$19&gt;3, G19&lt;6),G10-(2*G13)-42&amp;" x "&amp;VLOOKUP(F28,Y6:Z9,2,0)&amp;" mm","")</f>
        <v/>
      </c>
    </row>
    <row r="59" spans="1:19" ht="18" customHeight="1">
      <c r="A59" s="121"/>
      <c r="B59" s="53" t="str">
        <f>IF(G19&gt;1,(D31-($G$12-$G$16))+G15+5+37,"")</f>
        <v/>
      </c>
      <c r="C59" s="7"/>
      <c r="D59" s="7"/>
      <c r="E59" s="7"/>
      <c r="F59" s="7"/>
      <c r="H59" s="48" t="str">
        <f>IF(AND($G$19&gt;2, $G$19&lt;6),Překlady!C24, " ")</f>
        <v xml:space="preserve"> </v>
      </c>
      <c r="I59" s="49" t="str">
        <f>IF(AND($G$19&gt;2, G19&lt;6),G10-(2*G13)-42&amp;" x "&amp;VLOOKUP(F29,Y6:Z9,2,0)&amp;" mm","")</f>
        <v/>
      </c>
    </row>
    <row r="60" spans="1:19" ht="18">
      <c r="A60" s="121"/>
      <c r="B60" s="53"/>
      <c r="C60" s="7"/>
      <c r="D60" s="7"/>
      <c r="E60" s="7"/>
      <c r="F60" s="7"/>
      <c r="H60" s="45" t="str">
        <f>IF(AND($G$19&gt;1, $G$19&lt;6),Překlady!C23, " ")</f>
        <v xml:space="preserve"> </v>
      </c>
      <c r="I60" s="23" t="str">
        <f>IF(AND($G$19&gt;1, G19&lt;6),G10-(2*G13)-42&amp;" x "&amp;VLOOKUP(F30,Y6:Z9,2,0)&amp;" mm","")</f>
        <v/>
      </c>
    </row>
    <row r="61" spans="1:19" ht="18">
      <c r="A61" s="121"/>
      <c r="B61" s="51"/>
      <c r="C61" s="7"/>
      <c r="D61" s="7"/>
      <c r="E61" s="7"/>
      <c r="F61" s="7"/>
      <c r="H61" s="45" t="str">
        <f>IF(AND($G$19&gt;0, G19&lt;6),Překlady!C22, " ")</f>
        <v xml:space="preserve"> </v>
      </c>
      <c r="I61" s="23" t="str">
        <f>IF(AND($G$19&gt;0, G19&lt;6),G10-(2*G13)-42&amp;" x "&amp;VLOOKUP(F31,Y6:Z9,2,0)&amp;" mm","")</f>
        <v/>
      </c>
    </row>
    <row r="62" spans="1:19" ht="8.25" customHeight="1">
      <c r="A62" s="121"/>
      <c r="B62" s="51"/>
      <c r="C62" s="7"/>
      <c r="D62" s="7"/>
      <c r="E62" s="7"/>
      <c r="F62" s="7"/>
      <c r="H62" s="45"/>
      <c r="I62" s="23"/>
    </row>
    <row r="63" spans="1:19" ht="20.25" customHeight="1">
      <c r="A63" s="121"/>
      <c r="B63" s="54" t="str">
        <f>IF(D31&gt;0,37,"")</f>
        <v/>
      </c>
      <c r="C63" s="7"/>
      <c r="D63" s="7"/>
      <c r="E63" s="7"/>
      <c r="F63" s="7"/>
      <c r="H63" s="7"/>
    </row>
    <row r="64" spans="1:19" ht="24" customHeight="1">
      <c r="A64" s="121"/>
      <c r="B64" s="51">
        <v>0</v>
      </c>
      <c r="C64" s="7"/>
      <c r="D64" s="7"/>
      <c r="E64" s="7"/>
      <c r="F64" s="7"/>
      <c r="H64" s="7"/>
      <c r="S64" s="2"/>
    </row>
    <row r="65" spans="1:17" ht="18.75" customHeight="1">
      <c r="C65" s="7"/>
      <c r="D65" s="7"/>
      <c r="E65" s="7"/>
      <c r="F65" s="7"/>
      <c r="H65" s="7"/>
    </row>
    <row r="66" spans="1:17">
      <c r="B66" s="7"/>
      <c r="C66" s="7"/>
      <c r="D66" s="7"/>
      <c r="E66" s="7"/>
      <c r="F66" s="7"/>
    </row>
    <row r="67" spans="1:17"/>
    <row r="68" spans="1:17"/>
    <row r="69" spans="1:17" ht="18.75" customHeight="1">
      <c r="C69" s="7"/>
      <c r="D69" s="7"/>
      <c r="E69" s="7"/>
      <c r="F69" s="7"/>
      <c r="G69" s="7"/>
    </row>
    <row r="70" spans="1:17"/>
    <row r="71" spans="1:17"/>
    <row r="72" spans="1:17">
      <c r="A72" s="6"/>
      <c r="B72" s="6"/>
      <c r="C72" s="6"/>
      <c r="D72" s="6"/>
      <c r="E72" s="6"/>
      <c r="F72" s="6"/>
      <c r="G72" s="6"/>
      <c r="H72" s="6"/>
      <c r="I72" s="6"/>
      <c r="J72" s="6"/>
      <c r="K72" s="6"/>
      <c r="L72" s="6"/>
      <c r="M72" s="6"/>
      <c r="N72" s="6"/>
      <c r="O72" s="6"/>
      <c r="P72" s="6"/>
      <c r="Q72" s="6"/>
    </row>
    <row r="73" spans="1:17">
      <c r="A73" s="6"/>
      <c r="B73" s="6"/>
      <c r="C73" s="6"/>
      <c r="D73" s="6"/>
      <c r="E73" s="6"/>
      <c r="F73" s="6"/>
      <c r="G73" s="6"/>
      <c r="H73" s="6"/>
      <c r="I73" s="6"/>
      <c r="J73" s="6"/>
      <c r="K73" s="6"/>
      <c r="L73" s="6"/>
      <c r="M73" s="6"/>
      <c r="N73" s="6"/>
      <c r="O73" s="6"/>
      <c r="P73" s="6"/>
      <c r="Q73" s="6"/>
    </row>
    <row r="74" spans="1:17" ht="21">
      <c r="A74" s="6"/>
      <c r="B74" s="44"/>
      <c r="C74" s="76" t="str">
        <f>IF(F31&gt;0,Překlady!C61,"")</f>
        <v/>
      </c>
      <c r="D74" s="6"/>
      <c r="E74" s="6"/>
      <c r="F74" s="6"/>
      <c r="G74" s="6"/>
      <c r="H74" s="6"/>
      <c r="I74" s="6"/>
      <c r="J74" s="44"/>
      <c r="K74" s="76" t="str">
        <f>IFERROR((IF(F31&gt;0,VLOOKUP(G19,Překlady!B62:C65,2,0),"")),"")</f>
        <v/>
      </c>
      <c r="L74" s="6"/>
      <c r="M74" s="6"/>
      <c r="N74" s="6"/>
      <c r="O74" s="6"/>
      <c r="P74" s="6"/>
      <c r="Q74" s="6"/>
    </row>
    <row r="75" spans="1:17">
      <c r="A75" s="6"/>
      <c r="B75" s="6"/>
      <c r="C75" s="6"/>
      <c r="D75" s="6"/>
      <c r="E75" s="6"/>
      <c r="F75" s="6"/>
      <c r="G75" s="6"/>
      <c r="H75" s="6"/>
      <c r="I75" s="6"/>
      <c r="J75" s="6"/>
      <c r="K75" s="6"/>
      <c r="L75" s="6"/>
      <c r="M75" s="6"/>
      <c r="N75" s="6"/>
      <c r="O75" s="6"/>
      <c r="P75" s="6"/>
      <c r="Q75" s="6"/>
    </row>
    <row r="76" spans="1:17" ht="20.25" customHeight="1">
      <c r="A76" s="6"/>
      <c r="B76" s="6"/>
      <c r="C76" s="99" t="str">
        <f>IF(F31&gt;0,VLOOKUP(F31,nákresy!B2:C5,2,0),"")</f>
        <v/>
      </c>
      <c r="D76" s="99"/>
      <c r="E76" s="99"/>
      <c r="F76" s="99"/>
      <c r="G76" s="99"/>
      <c r="H76" s="99"/>
      <c r="I76" s="6"/>
      <c r="J76" s="6"/>
      <c r="K76" s="99" t="str">
        <f>IFERROR((VLOOKUP(IF(G19=5,F27,IF(G19=4,F28,IF(G19=3,F29,IF(G19=2,F30,"")))),nákresy!B2:C5,2,0)),"")</f>
        <v/>
      </c>
      <c r="L76" s="99"/>
      <c r="M76" s="99"/>
      <c r="N76" s="99"/>
      <c r="O76" s="99"/>
      <c r="P76" s="99"/>
      <c r="Q76" s="6"/>
    </row>
    <row r="77" spans="1:17" ht="20.25" customHeight="1">
      <c r="A77" s="6"/>
      <c r="B77" s="6"/>
      <c r="C77" s="99"/>
      <c r="D77" s="99"/>
      <c r="E77" s="99"/>
      <c r="F77" s="99"/>
      <c r="G77" s="99"/>
      <c r="H77" s="99"/>
      <c r="I77" s="6"/>
      <c r="J77" s="6"/>
      <c r="K77" s="99"/>
      <c r="L77" s="99"/>
      <c r="M77" s="99"/>
      <c r="N77" s="99"/>
      <c r="O77" s="99"/>
      <c r="P77" s="99"/>
      <c r="Q77" s="6"/>
    </row>
    <row r="78" spans="1:17" ht="20.25" customHeight="1">
      <c r="A78" s="6"/>
      <c r="B78" s="6"/>
      <c r="C78" s="99"/>
      <c r="D78" s="99"/>
      <c r="E78" s="99"/>
      <c r="F78" s="99"/>
      <c r="G78" s="99"/>
      <c r="H78" s="99"/>
      <c r="I78" s="6"/>
      <c r="J78" s="61"/>
      <c r="K78" s="99"/>
      <c r="L78" s="99"/>
      <c r="M78" s="99"/>
      <c r="N78" s="99"/>
      <c r="O78" s="99"/>
      <c r="P78" s="99"/>
      <c r="Q78" s="6"/>
    </row>
    <row r="79" spans="1:17" ht="20.25" customHeight="1">
      <c r="A79" s="6"/>
      <c r="B79" s="55"/>
      <c r="C79" s="99"/>
      <c r="D79" s="99"/>
      <c r="E79" s="99"/>
      <c r="F79" s="99"/>
      <c r="G79" s="99"/>
      <c r="H79" s="99"/>
      <c r="I79" s="6"/>
      <c r="J79" s="61"/>
      <c r="K79" s="99"/>
      <c r="L79" s="99"/>
      <c r="M79" s="99"/>
      <c r="N79" s="99"/>
      <c r="O79" s="99"/>
      <c r="P79" s="99"/>
      <c r="Q79" s="6"/>
    </row>
    <row r="80" spans="1:17" ht="20.25" customHeight="1">
      <c r="A80" s="6"/>
      <c r="B80" s="55" t="str">
        <f>IF(F31=249,"32","")</f>
        <v/>
      </c>
      <c r="C80" s="99"/>
      <c r="D80" s="99"/>
      <c r="E80" s="99"/>
      <c r="F80" s="99"/>
      <c r="G80" s="99"/>
      <c r="H80" s="99"/>
      <c r="I80" s="6"/>
      <c r="J80" s="61" t="str">
        <f>IFERROR((IF(VLOOKUP(G19,S89:T92,2,0)=249,32,"")),"")</f>
        <v/>
      </c>
      <c r="K80" s="99"/>
      <c r="L80" s="99"/>
      <c r="M80" s="99"/>
      <c r="N80" s="99"/>
      <c r="O80" s="99"/>
      <c r="P80" s="99"/>
      <c r="Q80" s="6"/>
    </row>
    <row r="81" spans="1:20" ht="20.25" customHeight="1">
      <c r="A81" s="6"/>
      <c r="B81" s="56"/>
      <c r="C81" s="99"/>
      <c r="D81" s="99"/>
      <c r="E81" s="99"/>
      <c r="F81" s="99"/>
      <c r="G81" s="99"/>
      <c r="H81" s="99"/>
      <c r="I81" s="6"/>
      <c r="J81" s="56"/>
      <c r="K81" s="99"/>
      <c r="L81" s="99"/>
      <c r="M81" s="99"/>
      <c r="N81" s="99"/>
      <c r="O81" s="99"/>
      <c r="P81" s="99"/>
      <c r="Q81" s="6"/>
    </row>
    <row r="82" spans="1:20" ht="20.25" customHeight="1">
      <c r="A82" s="6"/>
      <c r="B82" s="55" t="str">
        <f>IF(OR(F31=185,F31=89),"32","")</f>
        <v/>
      </c>
      <c r="C82" s="99"/>
      <c r="D82" s="99"/>
      <c r="E82" s="99"/>
      <c r="F82" s="99"/>
      <c r="G82" s="99"/>
      <c r="H82" s="99"/>
      <c r="I82" s="6"/>
      <c r="J82" s="63" t="str">
        <f>IFERROR((IF(OR(VLOOKUP(G19,S89:T92,2,0)=89,VLOOKUP(G19,S89:T92,2,0)=249,VLOOKUP(G19,S89:T92,2,0)=185),32,"")),"")</f>
        <v/>
      </c>
      <c r="K82" s="99"/>
      <c r="L82" s="99"/>
      <c r="M82" s="99"/>
      <c r="N82" s="99"/>
      <c r="O82" s="99"/>
      <c r="P82" s="99"/>
      <c r="Q82" s="6"/>
    </row>
    <row r="83" spans="1:20" ht="20.25" customHeight="1">
      <c r="A83" s="6"/>
      <c r="B83" s="57" t="str">
        <f>IF(F31=249,"32","")</f>
        <v/>
      </c>
      <c r="C83" s="99"/>
      <c r="D83" s="99"/>
      <c r="E83" s="99"/>
      <c r="F83" s="99"/>
      <c r="G83" s="99"/>
      <c r="H83" s="99"/>
      <c r="I83" s="6"/>
      <c r="J83" s="61"/>
      <c r="K83" s="99"/>
      <c r="L83" s="99"/>
      <c r="M83" s="99"/>
      <c r="N83" s="99"/>
      <c r="O83" s="99"/>
      <c r="P83" s="99"/>
      <c r="Q83" s="6"/>
    </row>
    <row r="84" spans="1:20" ht="20.25" customHeight="1">
      <c r="A84" s="6"/>
      <c r="B84" s="58"/>
      <c r="C84" s="99"/>
      <c r="D84" s="99"/>
      <c r="E84" s="99"/>
      <c r="F84" s="99"/>
      <c r="G84" s="99"/>
      <c r="H84" s="99"/>
      <c r="I84" s="6"/>
      <c r="J84" s="57"/>
      <c r="K84" s="99"/>
      <c r="L84" s="99"/>
      <c r="M84" s="99"/>
      <c r="N84" s="99"/>
      <c r="O84" s="99"/>
      <c r="P84" s="99"/>
      <c r="Q84" s="6"/>
    </row>
    <row r="85" spans="1:20" ht="20.25" customHeight="1">
      <c r="A85" s="6"/>
      <c r="B85" s="59" t="str">
        <f>IF(F31=249,"32","")</f>
        <v/>
      </c>
      <c r="C85" s="99"/>
      <c r="D85" s="99"/>
      <c r="E85" s="99"/>
      <c r="F85" s="99"/>
      <c r="G85" s="99"/>
      <c r="H85" s="99"/>
      <c r="I85" s="6"/>
      <c r="J85" s="61" t="str">
        <f>IFERROR((IF(VLOOKUP(G19,S89:T92,2,0)=249,32,"")),"")</f>
        <v/>
      </c>
      <c r="K85" s="99"/>
      <c r="L85" s="99"/>
      <c r="M85" s="99"/>
      <c r="N85" s="99"/>
      <c r="O85" s="99"/>
      <c r="P85" s="99"/>
      <c r="Q85" s="6"/>
    </row>
    <row r="86" spans="1:20" ht="20.25" customHeight="1">
      <c r="A86" s="6"/>
      <c r="B86" s="60" t="str">
        <f>IF(F31=185,"64","")</f>
        <v/>
      </c>
      <c r="C86" s="99"/>
      <c r="D86" s="99"/>
      <c r="E86" s="99"/>
      <c r="F86" s="99"/>
      <c r="G86" s="99"/>
      <c r="H86" s="99"/>
      <c r="I86" s="64"/>
      <c r="J86" s="58" t="str">
        <f>IFERROR((IF(VLOOKUP(G19,S89:T92,2,0)=185,64,"")),"")</f>
        <v/>
      </c>
      <c r="K86" s="99"/>
      <c r="L86" s="99"/>
      <c r="M86" s="99"/>
      <c r="N86" s="99"/>
      <c r="O86" s="99"/>
      <c r="P86" s="99"/>
      <c r="Q86" s="95" t="str">
        <f>IF(F31&gt;0,IF(G19=5,D27-$G$21,IF(G19=4,D28-$G$21,IF(G19=3,D29-$G$21,IF(G19=2,D30-$G$21,"")))),"")</f>
        <v/>
      </c>
    </row>
    <row r="87" spans="1:20" ht="20.25" customHeight="1">
      <c r="A87" s="6"/>
      <c r="B87" s="56" t="str">
        <f>IF(F31=121,"32","")</f>
        <v/>
      </c>
      <c r="C87" s="99"/>
      <c r="D87" s="99"/>
      <c r="E87" s="99"/>
      <c r="F87" s="99"/>
      <c r="G87" s="99"/>
      <c r="H87" s="99"/>
      <c r="I87" s="101" t="str">
        <f>IF(F31&gt;0,D31-$G$21,"")</f>
        <v/>
      </c>
      <c r="J87" s="61" t="str">
        <f>IFERROR((IF(VLOOKUP(G19,S89:T92,2,0)=121,32,"")),"")</f>
        <v/>
      </c>
      <c r="K87" s="99"/>
      <c r="L87" s="99"/>
      <c r="M87" s="99"/>
      <c r="N87" s="99"/>
      <c r="O87" s="99"/>
      <c r="P87" s="99"/>
      <c r="Q87" s="95"/>
    </row>
    <row r="88" spans="1:20" ht="20.25" customHeight="1">
      <c r="A88" s="6"/>
      <c r="B88" s="96" t="str">
        <f>IF(F31=249,"64","")</f>
        <v/>
      </c>
      <c r="C88" s="99"/>
      <c r="D88" s="99"/>
      <c r="E88" s="99"/>
      <c r="F88" s="99"/>
      <c r="G88" s="99"/>
      <c r="H88" s="99"/>
      <c r="I88" s="101"/>
      <c r="J88" s="102" t="str">
        <f>IFERROR((IF(VLOOKUP(G19,S89:T92,2,0)=249,64,"")),"")</f>
        <v/>
      </c>
      <c r="K88" s="99"/>
      <c r="L88" s="99"/>
      <c r="M88" s="99"/>
      <c r="N88" s="99"/>
      <c r="O88" s="99"/>
      <c r="P88" s="99"/>
      <c r="Q88" s="6"/>
    </row>
    <row r="89" spans="1:20" ht="20.25" customHeight="1">
      <c r="A89" s="6"/>
      <c r="B89" s="96"/>
      <c r="C89" s="99"/>
      <c r="D89" s="99"/>
      <c r="E89" s="99"/>
      <c r="F89" s="99"/>
      <c r="G89" s="99"/>
      <c r="H89" s="99"/>
      <c r="I89" s="6"/>
      <c r="J89" s="102"/>
      <c r="K89" s="99"/>
      <c r="L89" s="99"/>
      <c r="M89" s="99"/>
      <c r="N89" s="99"/>
      <c r="O89" s="99"/>
      <c r="P89" s="99"/>
      <c r="Q89" s="6"/>
      <c r="S89" s="2">
        <v>5</v>
      </c>
      <c r="T89">
        <f>F27</f>
        <v>0</v>
      </c>
    </row>
    <row r="90" spans="1:20" ht="20.25" customHeight="1">
      <c r="A90" s="6"/>
      <c r="B90" s="100" t="str">
        <f>IF(F31=185,32,IF(F31=89,61.5+G12-G16,""))</f>
        <v/>
      </c>
      <c r="C90" s="99"/>
      <c r="D90" s="99"/>
      <c r="E90" s="99"/>
      <c r="F90" s="99"/>
      <c r="G90" s="99"/>
      <c r="H90" s="99"/>
      <c r="I90" s="6"/>
      <c r="J90" s="96" t="str">
        <f>IFERROR((IF(VLOOKUP(G19,S89:T92,2,0)=185,32,IF(VLOOKUP(G19,S89:T92,2,0)=89,61.5+5,""))),"")</f>
        <v/>
      </c>
      <c r="K90" s="99"/>
      <c r="L90" s="99"/>
      <c r="M90" s="99"/>
      <c r="N90" s="99"/>
      <c r="O90" s="99"/>
      <c r="P90" s="99"/>
      <c r="Q90" s="6"/>
      <c r="S90" s="2">
        <v>4</v>
      </c>
      <c r="T90">
        <f>F28</f>
        <v>0</v>
      </c>
    </row>
    <row r="91" spans="1:20" ht="20.25" customHeight="1">
      <c r="A91" s="6"/>
      <c r="B91" s="100"/>
      <c r="C91" s="99"/>
      <c r="D91" s="99"/>
      <c r="E91" s="99"/>
      <c r="F91" s="99"/>
      <c r="G91" s="99"/>
      <c r="H91" s="99"/>
      <c r="I91" s="6"/>
      <c r="J91" s="96"/>
      <c r="K91" s="99"/>
      <c r="L91" s="99"/>
      <c r="M91" s="99"/>
      <c r="N91" s="99"/>
      <c r="O91" s="99"/>
      <c r="P91" s="99"/>
      <c r="Q91" s="6"/>
      <c r="S91" s="2">
        <v>3</v>
      </c>
      <c r="T91">
        <f>F29</f>
        <v>0</v>
      </c>
    </row>
    <row r="92" spans="1:20" ht="20.25" customHeight="1">
      <c r="A92" s="6"/>
      <c r="B92" s="102" t="str">
        <f>IF(F31=121,61.5+G12-G16,IF(F31=249,32,""))</f>
        <v/>
      </c>
      <c r="C92" s="99"/>
      <c r="D92" s="99"/>
      <c r="E92" s="99"/>
      <c r="F92" s="99"/>
      <c r="G92" s="99"/>
      <c r="H92" s="99"/>
      <c r="I92" s="6"/>
      <c r="J92" s="61" t="str">
        <f>IFERROR((IF(VLOOKUP(G19,S89:T92,2,0)=249,32,"")),"")</f>
        <v/>
      </c>
      <c r="K92" s="99"/>
      <c r="L92" s="99"/>
      <c r="M92" s="99"/>
      <c r="N92" s="99"/>
      <c r="O92" s="99"/>
      <c r="P92" s="99"/>
      <c r="Q92" s="6"/>
      <c r="S92" s="2">
        <v>2</v>
      </c>
      <c r="T92">
        <f>F30</f>
        <v>0</v>
      </c>
    </row>
    <row r="93" spans="1:20" ht="20.25" customHeight="1">
      <c r="A93" s="6"/>
      <c r="B93" s="102"/>
      <c r="C93" s="99"/>
      <c r="D93" s="99"/>
      <c r="E93" s="99"/>
      <c r="F93" s="99"/>
      <c r="G93" s="99"/>
      <c r="H93" s="99"/>
      <c r="I93" s="6"/>
      <c r="J93" s="61" t="str">
        <f>IFERROR((IF(VLOOKUP(G19,S89:T92,2,0)=121,61.5+5,"")),"")</f>
        <v/>
      </c>
      <c r="K93" s="99"/>
      <c r="L93" s="99"/>
      <c r="M93" s="99"/>
      <c r="N93" s="99"/>
      <c r="O93" s="99"/>
      <c r="P93" s="99"/>
      <c r="Q93" s="6"/>
    </row>
    <row r="94" spans="1:20" ht="20.25" customHeight="1">
      <c r="A94" s="6"/>
      <c r="B94" s="61"/>
      <c r="C94" s="99"/>
      <c r="D94" s="99"/>
      <c r="E94" s="99"/>
      <c r="F94" s="99"/>
      <c r="G94" s="99"/>
      <c r="H94" s="99"/>
      <c r="I94" s="6"/>
      <c r="J94" s="59" t="str">
        <f>IFERROR((IF(VLOOKUP(G19,S89:T92,2,0)=185,61.5+5,"")),"")</f>
        <v/>
      </c>
      <c r="K94" s="99"/>
      <c r="L94" s="99"/>
      <c r="M94" s="99"/>
      <c r="N94" s="99"/>
      <c r="O94" s="99"/>
      <c r="P94" s="99"/>
      <c r="Q94" s="6"/>
    </row>
    <row r="95" spans="1:20" ht="20.25" customHeight="1">
      <c r="A95" s="6"/>
      <c r="B95" s="103" t="str">
        <f>IF(OR(F31=249,F31=185),61.5+G12-G16,"")</f>
        <v/>
      </c>
      <c r="C95" s="99"/>
      <c r="D95" s="99"/>
      <c r="E95" s="99"/>
      <c r="F95" s="99"/>
      <c r="G95" s="99"/>
      <c r="H95" s="99"/>
      <c r="I95" s="6"/>
      <c r="J95" s="102" t="str">
        <f>IFERROR((IF(VLOOKUP(G19,S89:T92,2,0)=249,61.5+5,"")),"")</f>
        <v/>
      </c>
      <c r="K95" s="99"/>
      <c r="L95" s="99"/>
      <c r="M95" s="99"/>
      <c r="N95" s="99"/>
      <c r="O95" s="99"/>
      <c r="P95" s="99"/>
      <c r="Q95" s="6"/>
    </row>
    <row r="96" spans="1:20" ht="20.25" customHeight="1">
      <c r="A96" s="6"/>
      <c r="B96" s="103"/>
      <c r="C96" s="99"/>
      <c r="D96" s="99"/>
      <c r="E96" s="99"/>
      <c r="F96" s="99"/>
      <c r="G96" s="99"/>
      <c r="H96" s="99"/>
      <c r="I96" s="6"/>
      <c r="J96" s="102"/>
      <c r="K96" s="99"/>
      <c r="L96" s="99"/>
      <c r="M96" s="99"/>
      <c r="N96" s="99"/>
      <c r="O96" s="99"/>
      <c r="P96" s="99"/>
      <c r="Q96" s="6"/>
    </row>
    <row r="97" spans="1:17" ht="20.25" customHeight="1">
      <c r="A97" s="6"/>
      <c r="B97" s="6"/>
      <c r="C97" s="99"/>
      <c r="D97" s="99"/>
      <c r="E97" s="99"/>
      <c r="F97" s="99"/>
      <c r="G97" s="99"/>
      <c r="H97" s="99"/>
      <c r="I97" s="6"/>
      <c r="J97" s="61"/>
      <c r="K97" s="99"/>
      <c r="L97" s="99"/>
      <c r="M97" s="99"/>
      <c r="N97" s="99"/>
      <c r="O97" s="99"/>
      <c r="P97" s="99"/>
      <c r="Q97" s="6"/>
    </row>
    <row r="98" spans="1:17" ht="20.25" customHeight="1">
      <c r="A98" s="6"/>
      <c r="B98" s="6"/>
      <c r="C98" s="99"/>
      <c r="D98" s="99"/>
      <c r="E98" s="99"/>
      <c r="F98" s="99"/>
      <c r="G98" s="99"/>
      <c r="H98" s="99"/>
      <c r="I98" s="6"/>
      <c r="J98" s="6"/>
      <c r="K98" s="99"/>
      <c r="L98" s="99"/>
      <c r="M98" s="99"/>
      <c r="N98" s="99"/>
      <c r="O98" s="99"/>
      <c r="P98" s="99"/>
      <c r="Q98" s="6"/>
    </row>
    <row r="99" spans="1:17" ht="20.25" customHeight="1">
      <c r="A99" s="6"/>
      <c r="B99" s="6"/>
      <c r="C99" s="99"/>
      <c r="D99" s="99"/>
      <c r="E99" s="99"/>
      <c r="F99" s="99"/>
      <c r="G99" s="99"/>
      <c r="H99" s="99"/>
      <c r="I99" s="6"/>
      <c r="J99" s="6"/>
      <c r="K99" s="99"/>
      <c r="L99" s="99"/>
      <c r="M99" s="99"/>
      <c r="N99" s="99"/>
      <c r="O99" s="99"/>
      <c r="P99" s="99"/>
      <c r="Q99" s="6"/>
    </row>
    <row r="100" spans="1:17" ht="20.25" customHeight="1">
      <c r="A100" s="6"/>
      <c r="B100" s="6"/>
      <c r="C100" s="99"/>
      <c r="D100" s="99"/>
      <c r="E100" s="99"/>
      <c r="F100" s="99"/>
      <c r="G100" s="99"/>
      <c r="H100" s="99"/>
      <c r="I100" s="6"/>
      <c r="J100" s="6"/>
      <c r="K100" s="99"/>
      <c r="L100" s="99"/>
      <c r="M100" s="99"/>
      <c r="N100" s="99"/>
      <c r="O100" s="99"/>
      <c r="P100" s="99"/>
      <c r="Q100" s="6"/>
    </row>
    <row r="101" spans="1:17">
      <c r="A101" s="6"/>
      <c r="B101" s="6"/>
      <c r="C101" s="6"/>
      <c r="D101" s="62" t="str">
        <f>IF(F31&gt;0,14.5+G13-G17,"")</f>
        <v/>
      </c>
      <c r="E101" s="6"/>
      <c r="F101" s="6"/>
      <c r="G101" s="6"/>
      <c r="H101" s="6"/>
      <c r="I101" s="6"/>
      <c r="J101" s="6"/>
      <c r="K101" s="6"/>
      <c r="L101" s="62" t="str">
        <f>IF(AND(G19&gt;1,F31&gt;0),14.5+G13-G17,"")</f>
        <v/>
      </c>
      <c r="M101" s="6"/>
      <c r="N101" s="6"/>
      <c r="O101" s="6"/>
      <c r="P101" s="6"/>
      <c r="Q101" s="6"/>
    </row>
    <row r="102" spans="1:17">
      <c r="A102" s="6"/>
      <c r="B102" s="6"/>
      <c r="C102" s="6"/>
      <c r="D102" s="6"/>
      <c r="E102" s="6"/>
      <c r="F102" s="6"/>
      <c r="G102" s="6"/>
      <c r="H102" s="6"/>
      <c r="I102" s="6"/>
      <c r="J102" s="6"/>
      <c r="K102" s="6"/>
      <c r="L102" s="6"/>
      <c r="M102" s="6"/>
      <c r="N102" s="6"/>
      <c r="O102" s="6"/>
      <c r="P102" s="6"/>
      <c r="Q102" s="6"/>
    </row>
    <row r="103" spans="1:17">
      <c r="A103" s="6"/>
      <c r="B103" s="6"/>
      <c r="C103" s="6"/>
      <c r="D103" s="6"/>
      <c r="E103" s="6"/>
      <c r="F103" s="6"/>
      <c r="G103" s="6"/>
      <c r="H103" s="6"/>
      <c r="I103" s="6"/>
      <c r="J103" s="6"/>
      <c r="K103" s="6"/>
      <c r="L103" s="6"/>
      <c r="M103" s="6"/>
      <c r="N103" s="6"/>
      <c r="O103" s="6"/>
      <c r="P103" s="6"/>
      <c r="Q103" s="6"/>
    </row>
    <row r="104" spans="1:17" ht="21">
      <c r="A104" s="6"/>
      <c r="B104" s="44"/>
      <c r="C104" s="76" t="str">
        <f>IF(AND(G19&gt;2,F30&gt;0),Překlady!C62,"")</f>
        <v/>
      </c>
      <c r="D104" s="6"/>
      <c r="E104" s="6"/>
      <c r="F104" s="6"/>
      <c r="G104" s="6"/>
      <c r="H104" s="6"/>
      <c r="I104" s="6"/>
      <c r="J104" s="44"/>
      <c r="K104" s="76" t="str">
        <f>IF(AND(G19&gt;3,F30&gt;0),Překlady!C63,"")</f>
        <v/>
      </c>
      <c r="L104" s="6"/>
      <c r="M104" s="6"/>
      <c r="N104" s="6"/>
      <c r="O104" s="6"/>
      <c r="P104" s="6"/>
      <c r="Q104" s="6"/>
    </row>
    <row r="105" spans="1:17">
      <c r="A105" s="6"/>
      <c r="B105" s="6"/>
      <c r="C105" s="6"/>
      <c r="D105" s="6"/>
      <c r="E105" s="6"/>
      <c r="F105" s="6"/>
      <c r="G105" s="6"/>
      <c r="H105" s="6"/>
      <c r="I105" s="6"/>
      <c r="J105" s="6"/>
      <c r="K105" s="6"/>
      <c r="L105" s="6"/>
      <c r="M105" s="6"/>
      <c r="N105" s="6"/>
      <c r="O105" s="6"/>
      <c r="P105" s="6"/>
      <c r="Q105" s="6"/>
    </row>
    <row r="106" spans="1:17" ht="20.25" customHeight="1">
      <c r="A106" s="6"/>
      <c r="B106" s="6"/>
      <c r="C106" s="99" t="str">
        <f>IF(G19&gt;2,VLOOKUP(F30,nákresy!B2:C5,2,0),"")</f>
        <v/>
      </c>
      <c r="D106" s="99"/>
      <c r="E106" s="99"/>
      <c r="F106" s="99"/>
      <c r="G106" s="99"/>
      <c r="H106" s="99"/>
      <c r="I106" s="6"/>
      <c r="J106" s="6"/>
      <c r="K106" s="99" t="str">
        <f>IF(G19&gt;3,VLOOKUP(F29,nákresy!B2:C5,2,0),"")</f>
        <v/>
      </c>
      <c r="L106" s="99"/>
      <c r="M106" s="99"/>
      <c r="N106" s="99"/>
      <c r="O106" s="99"/>
      <c r="P106" s="99"/>
      <c r="Q106" s="6"/>
    </row>
    <row r="107" spans="1:17" ht="20.25" customHeight="1">
      <c r="A107" s="6"/>
      <c r="B107" s="6"/>
      <c r="C107" s="99"/>
      <c r="D107" s="99"/>
      <c r="E107" s="99"/>
      <c r="F107" s="99"/>
      <c r="G107" s="99"/>
      <c r="H107" s="99"/>
      <c r="I107" s="6"/>
      <c r="J107" s="6"/>
      <c r="K107" s="99"/>
      <c r="L107" s="99"/>
      <c r="M107" s="99"/>
      <c r="N107" s="99"/>
      <c r="O107" s="99"/>
      <c r="P107" s="99"/>
      <c r="Q107" s="6"/>
    </row>
    <row r="108" spans="1:17" ht="20.25" customHeight="1">
      <c r="A108" s="6"/>
      <c r="B108" s="6"/>
      <c r="C108" s="99"/>
      <c r="D108" s="99"/>
      <c r="E108" s="99"/>
      <c r="F108" s="99"/>
      <c r="G108" s="99"/>
      <c r="H108" s="99"/>
      <c r="I108" s="6"/>
      <c r="J108" s="6"/>
      <c r="K108" s="99"/>
      <c r="L108" s="99"/>
      <c r="M108" s="99"/>
      <c r="N108" s="99"/>
      <c r="O108" s="99"/>
      <c r="P108" s="99"/>
      <c r="Q108" s="6"/>
    </row>
    <row r="109" spans="1:17" ht="20.25" customHeight="1">
      <c r="A109" s="6"/>
      <c r="B109" s="55"/>
      <c r="C109" s="99"/>
      <c r="D109" s="99"/>
      <c r="E109" s="99"/>
      <c r="F109" s="99"/>
      <c r="G109" s="99"/>
      <c r="H109" s="99"/>
      <c r="I109" s="6"/>
      <c r="J109" s="55"/>
      <c r="K109" s="99"/>
      <c r="L109" s="99"/>
      <c r="M109" s="99"/>
      <c r="N109" s="99"/>
      <c r="O109" s="99"/>
      <c r="P109" s="99"/>
      <c r="Q109" s="6"/>
    </row>
    <row r="110" spans="1:17" ht="20.25" customHeight="1">
      <c r="A110" s="6"/>
      <c r="B110" s="55" t="str">
        <f>IF(AND(G19&gt;2,F30&gt;0),IF(F30=249,"32",""),"")</f>
        <v/>
      </c>
      <c r="C110" s="99"/>
      <c r="D110" s="99"/>
      <c r="E110" s="99"/>
      <c r="F110" s="99"/>
      <c r="G110" s="99"/>
      <c r="H110" s="99"/>
      <c r="I110" s="6"/>
      <c r="J110" s="55" t="str">
        <f>IF(AND(G19&gt;3,F29&gt;0),IF(F29=249,"32",""),"")</f>
        <v/>
      </c>
      <c r="K110" s="99"/>
      <c r="L110" s="99"/>
      <c r="M110" s="99"/>
      <c r="N110" s="99"/>
      <c r="O110" s="99"/>
      <c r="P110" s="99"/>
      <c r="Q110" s="6"/>
    </row>
    <row r="111" spans="1:17" ht="20.25" customHeight="1">
      <c r="A111" s="6"/>
      <c r="B111" s="56"/>
      <c r="C111" s="99"/>
      <c r="D111" s="99"/>
      <c r="E111" s="99"/>
      <c r="F111" s="99"/>
      <c r="G111" s="99"/>
      <c r="H111" s="99"/>
      <c r="I111" s="6"/>
      <c r="J111" s="56"/>
      <c r="K111" s="99"/>
      <c r="L111" s="99"/>
      <c r="M111" s="99"/>
      <c r="N111" s="99"/>
      <c r="O111" s="99"/>
      <c r="P111" s="99"/>
      <c r="Q111" s="6"/>
    </row>
    <row r="112" spans="1:17" ht="20.25" customHeight="1">
      <c r="A112" s="6"/>
      <c r="B112" s="55" t="str">
        <f>IF(AND(G19&gt;2,F30&gt;0),IF(OR(F30=185,F30=89),"32",""),"")</f>
        <v/>
      </c>
      <c r="C112" s="99"/>
      <c r="D112" s="99"/>
      <c r="E112" s="99"/>
      <c r="F112" s="99"/>
      <c r="G112" s="99"/>
      <c r="H112" s="99"/>
      <c r="I112" s="6"/>
      <c r="J112" s="55" t="str">
        <f>IF(AND(G19&gt;3,F29&gt;0),IF(OR(F29=185,F29=89),"32",""),"")</f>
        <v/>
      </c>
      <c r="K112" s="99"/>
      <c r="L112" s="99"/>
      <c r="M112" s="99"/>
      <c r="N112" s="99"/>
      <c r="O112" s="99"/>
      <c r="P112" s="99"/>
      <c r="Q112" s="6"/>
    </row>
    <row r="113" spans="1:17" ht="20.25" customHeight="1">
      <c r="A113" s="6"/>
      <c r="B113" s="57" t="str">
        <f>IF(AND(G19&gt;2,F30&gt;0),IF(F30=249,"32",""),"")</f>
        <v/>
      </c>
      <c r="C113" s="99"/>
      <c r="D113" s="99"/>
      <c r="E113" s="99"/>
      <c r="F113" s="99"/>
      <c r="G113" s="99"/>
      <c r="H113" s="99"/>
      <c r="I113" s="6"/>
      <c r="J113" s="57" t="str">
        <f>IF(AND(G19&gt;3,F29&gt;0),IF(F29=249,"32",""),"")</f>
        <v/>
      </c>
      <c r="K113" s="99"/>
      <c r="L113" s="99"/>
      <c r="M113" s="99"/>
      <c r="N113" s="99"/>
      <c r="O113" s="99"/>
      <c r="P113" s="99"/>
      <c r="Q113" s="6"/>
    </row>
    <row r="114" spans="1:17" ht="20.25" customHeight="1">
      <c r="A114" s="6"/>
      <c r="B114" s="58"/>
      <c r="C114" s="99"/>
      <c r="D114" s="99"/>
      <c r="E114" s="99"/>
      <c r="F114" s="99"/>
      <c r="G114" s="99"/>
      <c r="H114" s="99"/>
      <c r="I114" s="6"/>
      <c r="J114" s="58"/>
      <c r="K114" s="99"/>
      <c r="L114" s="99"/>
      <c r="M114" s="99"/>
      <c r="N114" s="99"/>
      <c r="O114" s="99"/>
      <c r="P114" s="99"/>
      <c r="Q114" s="6"/>
    </row>
    <row r="115" spans="1:17" ht="20.25" customHeight="1">
      <c r="A115" s="6"/>
      <c r="B115" s="59" t="str">
        <f>IF(AND(G19&gt;2,F30&gt;0),IF(F30=249,"32",""),"")</f>
        <v/>
      </c>
      <c r="C115" s="99"/>
      <c r="D115" s="99"/>
      <c r="E115" s="99"/>
      <c r="F115" s="99"/>
      <c r="G115" s="99"/>
      <c r="H115" s="99"/>
      <c r="I115" s="6"/>
      <c r="J115" s="59" t="str">
        <f>IF(AND(G19&gt;3,F29&gt;0),IF(F29=249,"32",""),"")</f>
        <v/>
      </c>
      <c r="K115" s="99"/>
      <c r="L115" s="99"/>
      <c r="M115" s="99"/>
      <c r="N115" s="99"/>
      <c r="O115" s="99"/>
      <c r="P115" s="99"/>
      <c r="Q115" s="6"/>
    </row>
    <row r="116" spans="1:17" ht="20.25" customHeight="1">
      <c r="A116" s="6"/>
      <c r="B116" s="60" t="str">
        <f>IF(AND(G19&gt;2,F30&gt;0),IF(F30=185,"64",""),"")</f>
        <v/>
      </c>
      <c r="C116" s="99"/>
      <c r="D116" s="99"/>
      <c r="E116" s="99"/>
      <c r="F116" s="99"/>
      <c r="G116" s="99"/>
      <c r="H116" s="99"/>
      <c r="I116" s="95" t="str">
        <f>IF(AND(G19&gt;2,F30&gt;0),D30-$G$21,"")</f>
        <v/>
      </c>
      <c r="J116" s="60" t="str">
        <f>IF(AND(G19&gt;3,F29&gt;0),IF(F29=185,"64",""),"")</f>
        <v/>
      </c>
      <c r="K116" s="99"/>
      <c r="L116" s="99"/>
      <c r="M116" s="99"/>
      <c r="N116" s="99"/>
      <c r="O116" s="99"/>
      <c r="P116" s="99"/>
      <c r="Q116" s="95" t="str">
        <f>IF(AND(G19&gt;3,F29&gt;0),D29-$G$21,"")</f>
        <v/>
      </c>
    </row>
    <row r="117" spans="1:17" ht="20.25" customHeight="1">
      <c r="A117" s="6"/>
      <c r="B117" s="56" t="str">
        <f>IF(AND(G19&gt;2,F30&gt;0),IF(F30=121,"32",""),"")</f>
        <v/>
      </c>
      <c r="C117" s="99"/>
      <c r="D117" s="99"/>
      <c r="E117" s="99"/>
      <c r="F117" s="99"/>
      <c r="G117" s="99"/>
      <c r="H117" s="99"/>
      <c r="I117" s="95"/>
      <c r="J117" s="56" t="str">
        <f>IF(AND(G19&gt;3,F29&gt;0),IF(F29=121,"32",""),"")</f>
        <v/>
      </c>
      <c r="K117" s="99"/>
      <c r="L117" s="99"/>
      <c r="M117" s="99"/>
      <c r="N117" s="99"/>
      <c r="O117" s="99"/>
      <c r="P117" s="99"/>
      <c r="Q117" s="95"/>
    </row>
    <row r="118" spans="1:17" ht="20.25" customHeight="1">
      <c r="A118" s="6"/>
      <c r="B118" s="96" t="str">
        <f>IF(AND(G19&gt;2,F30&gt;0),IF(F30=249,"64",""),"")</f>
        <v/>
      </c>
      <c r="C118" s="99"/>
      <c r="D118" s="99"/>
      <c r="E118" s="99"/>
      <c r="F118" s="99"/>
      <c r="G118" s="99"/>
      <c r="H118" s="99"/>
      <c r="I118" s="61"/>
      <c r="J118" s="96" t="str">
        <f>IF(AND(G19&gt;3,F29&gt;0),IF(F29=249,"64",""),"")</f>
        <v/>
      </c>
      <c r="K118" s="99"/>
      <c r="L118" s="99"/>
      <c r="M118" s="99"/>
      <c r="N118" s="99"/>
      <c r="O118" s="99"/>
      <c r="P118" s="99"/>
      <c r="Q118" s="61"/>
    </row>
    <row r="119" spans="1:17" ht="20.25" customHeight="1">
      <c r="A119" s="6"/>
      <c r="B119" s="96"/>
      <c r="C119" s="99"/>
      <c r="D119" s="99"/>
      <c r="E119" s="99"/>
      <c r="F119" s="99"/>
      <c r="G119" s="99"/>
      <c r="H119" s="99"/>
      <c r="I119" s="61"/>
      <c r="J119" s="96"/>
      <c r="K119" s="99"/>
      <c r="L119" s="99"/>
      <c r="M119" s="99"/>
      <c r="N119" s="99"/>
      <c r="O119" s="99"/>
      <c r="P119" s="99"/>
      <c r="Q119" s="61"/>
    </row>
    <row r="120" spans="1:17" ht="20.25" customHeight="1">
      <c r="A120" s="6"/>
      <c r="B120" s="96" t="str">
        <f>IF(G19&gt;2,IF(F30=185,32,IF(F30=89,61.5+5,"")),"")</f>
        <v/>
      </c>
      <c r="C120" s="99"/>
      <c r="D120" s="99"/>
      <c r="E120" s="99"/>
      <c r="F120" s="99"/>
      <c r="G120" s="99"/>
      <c r="H120" s="99"/>
      <c r="I120" s="6"/>
      <c r="J120" s="96" t="str">
        <f>IF(AND(G19&gt;3,F29&gt;0),IF(F29=185,32,IF(F29=89,61.5+5,"")),"")</f>
        <v/>
      </c>
      <c r="K120" s="99"/>
      <c r="L120" s="99"/>
      <c r="M120" s="99"/>
      <c r="N120" s="99"/>
      <c r="O120" s="99"/>
      <c r="P120" s="99"/>
      <c r="Q120" s="6"/>
    </row>
    <row r="121" spans="1:17" ht="20.25" customHeight="1">
      <c r="A121" s="6"/>
      <c r="B121" s="96"/>
      <c r="C121" s="99"/>
      <c r="D121" s="99"/>
      <c r="E121" s="99"/>
      <c r="F121" s="99"/>
      <c r="G121" s="99"/>
      <c r="H121" s="99"/>
      <c r="I121" s="6"/>
      <c r="J121" s="96"/>
      <c r="K121" s="99"/>
      <c r="L121" s="99"/>
      <c r="M121" s="99"/>
      <c r="N121" s="99"/>
      <c r="O121" s="99"/>
      <c r="P121" s="99"/>
      <c r="Q121" s="6"/>
    </row>
    <row r="122" spans="1:17" ht="20.25" customHeight="1">
      <c r="A122" s="6"/>
      <c r="B122" s="102" t="str">
        <f>IF(G19&gt;2,IF(F30=121,61.5+5,IF(F30=249,32,"")),"")</f>
        <v/>
      </c>
      <c r="C122" s="99"/>
      <c r="D122" s="99"/>
      <c r="E122" s="99"/>
      <c r="F122" s="99"/>
      <c r="G122" s="99"/>
      <c r="H122" s="99"/>
      <c r="I122" s="6"/>
      <c r="J122" s="102" t="str">
        <f>IF(AND(G19&gt;3,F29&gt;0),IF(F29=121,61.5+5,IF(F29=249,32,"")),"")</f>
        <v/>
      </c>
      <c r="K122" s="99"/>
      <c r="L122" s="99"/>
      <c r="M122" s="99"/>
      <c r="N122" s="99"/>
      <c r="O122" s="99"/>
      <c r="P122" s="99"/>
      <c r="Q122" s="6"/>
    </row>
    <row r="123" spans="1:17" ht="20.25" customHeight="1">
      <c r="A123" s="6"/>
      <c r="B123" s="102"/>
      <c r="C123" s="99"/>
      <c r="D123" s="99"/>
      <c r="E123" s="99"/>
      <c r="F123" s="99"/>
      <c r="G123" s="99"/>
      <c r="H123" s="99"/>
      <c r="I123" s="6"/>
      <c r="J123" s="102"/>
      <c r="K123" s="99"/>
      <c r="L123" s="99"/>
      <c r="M123" s="99"/>
      <c r="N123" s="99"/>
      <c r="O123" s="99"/>
      <c r="P123" s="99"/>
      <c r="Q123" s="6"/>
    </row>
    <row r="124" spans="1:17" ht="20.25" customHeight="1">
      <c r="A124" s="6"/>
      <c r="B124" s="61"/>
      <c r="C124" s="99"/>
      <c r="D124" s="99"/>
      <c r="E124" s="99"/>
      <c r="F124" s="99"/>
      <c r="G124" s="99"/>
      <c r="H124" s="99"/>
      <c r="I124" s="6"/>
      <c r="J124" s="61"/>
      <c r="K124" s="99"/>
      <c r="L124" s="99"/>
      <c r="M124" s="99"/>
      <c r="N124" s="99"/>
      <c r="O124" s="99"/>
      <c r="P124" s="99"/>
      <c r="Q124" s="6"/>
    </row>
    <row r="125" spans="1:17" ht="20.25" customHeight="1">
      <c r="A125" s="6"/>
      <c r="B125" s="102" t="str">
        <f>IF(G19&gt;2,IF(OR(F30=249,F30=185),61.5+5,""),"")</f>
        <v/>
      </c>
      <c r="C125" s="99"/>
      <c r="D125" s="99"/>
      <c r="E125" s="99"/>
      <c r="F125" s="99"/>
      <c r="G125" s="99"/>
      <c r="H125" s="99"/>
      <c r="I125" s="6"/>
      <c r="J125" s="102" t="str">
        <f>IF(G19&gt;3,IF(OR(F29=249,F29=185),61.5+5,""),"")</f>
        <v/>
      </c>
      <c r="K125" s="99"/>
      <c r="L125" s="99"/>
      <c r="M125" s="99"/>
      <c r="N125" s="99"/>
      <c r="O125" s="99"/>
      <c r="P125" s="99"/>
      <c r="Q125" s="6"/>
    </row>
    <row r="126" spans="1:17" ht="20.25" customHeight="1">
      <c r="A126" s="6"/>
      <c r="B126" s="102"/>
      <c r="C126" s="99"/>
      <c r="D126" s="99"/>
      <c r="E126" s="99"/>
      <c r="F126" s="99"/>
      <c r="G126" s="99"/>
      <c r="H126" s="99"/>
      <c r="I126" s="6"/>
      <c r="J126" s="102"/>
      <c r="K126" s="99"/>
      <c r="L126" s="99"/>
      <c r="M126" s="99"/>
      <c r="N126" s="99"/>
      <c r="O126" s="99"/>
      <c r="P126" s="99"/>
      <c r="Q126" s="6"/>
    </row>
    <row r="127" spans="1:17" ht="20.25" customHeight="1">
      <c r="A127" s="6"/>
      <c r="B127" s="6"/>
      <c r="C127" s="99"/>
      <c r="D127" s="99"/>
      <c r="E127" s="99"/>
      <c r="F127" s="99"/>
      <c r="G127" s="99"/>
      <c r="H127" s="99"/>
      <c r="I127" s="6"/>
      <c r="J127" s="6"/>
      <c r="K127" s="99"/>
      <c r="L127" s="99"/>
      <c r="M127" s="99"/>
      <c r="N127" s="99"/>
      <c r="O127" s="99"/>
      <c r="P127" s="99"/>
      <c r="Q127" s="6"/>
    </row>
    <row r="128" spans="1:17" ht="20.25" customHeight="1">
      <c r="A128" s="6"/>
      <c r="B128" s="6"/>
      <c r="C128" s="99"/>
      <c r="D128" s="99"/>
      <c r="E128" s="99"/>
      <c r="F128" s="99"/>
      <c r="G128" s="99"/>
      <c r="H128" s="99"/>
      <c r="I128" s="6"/>
      <c r="J128" s="6"/>
      <c r="K128" s="99"/>
      <c r="L128" s="99"/>
      <c r="M128" s="99"/>
      <c r="N128" s="99"/>
      <c r="O128" s="99"/>
      <c r="P128" s="99"/>
      <c r="Q128" s="6"/>
    </row>
    <row r="129" spans="1:17" ht="20.25" customHeight="1">
      <c r="A129" s="6"/>
      <c r="B129" s="6"/>
      <c r="C129" s="99"/>
      <c r="D129" s="99"/>
      <c r="E129" s="99"/>
      <c r="F129" s="99"/>
      <c r="G129" s="99"/>
      <c r="H129" s="99"/>
      <c r="I129" s="6"/>
      <c r="J129" s="6"/>
      <c r="K129" s="99"/>
      <c r="L129" s="99"/>
      <c r="M129" s="99"/>
      <c r="N129" s="99"/>
      <c r="O129" s="99"/>
      <c r="P129" s="99"/>
      <c r="Q129" s="6"/>
    </row>
    <row r="130" spans="1:17" ht="20.25" customHeight="1">
      <c r="A130" s="6"/>
      <c r="B130" s="6"/>
      <c r="C130" s="99"/>
      <c r="D130" s="99"/>
      <c r="E130" s="99"/>
      <c r="F130" s="99"/>
      <c r="G130" s="99"/>
      <c r="H130" s="99"/>
      <c r="I130" s="6"/>
      <c r="J130" s="6"/>
      <c r="K130" s="99"/>
      <c r="L130" s="99"/>
      <c r="M130" s="99"/>
      <c r="N130" s="99"/>
      <c r="O130" s="99"/>
      <c r="P130" s="99"/>
      <c r="Q130" s="6"/>
    </row>
    <row r="131" spans="1:17" ht="21" customHeight="1">
      <c r="A131" s="6"/>
      <c r="B131" s="61"/>
      <c r="C131" s="6"/>
      <c r="D131" s="65" t="str">
        <f>IF(AND(G19&gt;2,F30&gt;0),14.5+G13-G17,"")</f>
        <v/>
      </c>
      <c r="E131" s="6"/>
      <c r="F131" s="6"/>
      <c r="G131" s="6"/>
      <c r="H131" s="6"/>
      <c r="I131" s="6"/>
      <c r="J131" s="6"/>
      <c r="K131" s="6"/>
      <c r="L131" s="65" t="str">
        <f>IF(AND(G19&gt;3,F29&gt;0),14.5+G13-G17,"")</f>
        <v/>
      </c>
      <c r="M131" s="6"/>
      <c r="N131" s="6"/>
      <c r="O131" s="6"/>
      <c r="P131" s="6"/>
      <c r="Q131" s="6"/>
    </row>
    <row r="132" spans="1:17">
      <c r="A132" s="6"/>
      <c r="B132" s="6"/>
      <c r="C132" s="6"/>
      <c r="D132" s="65"/>
      <c r="E132" s="6"/>
      <c r="F132" s="6"/>
      <c r="G132" s="6"/>
      <c r="H132" s="6"/>
      <c r="I132" s="6"/>
      <c r="J132" s="6"/>
      <c r="K132" s="6"/>
      <c r="L132" s="65"/>
      <c r="M132" s="6"/>
      <c r="N132" s="6"/>
      <c r="O132" s="6"/>
      <c r="P132" s="6"/>
      <c r="Q132" s="6"/>
    </row>
    <row r="133" spans="1:17">
      <c r="A133" s="6"/>
      <c r="B133" s="6"/>
      <c r="C133" s="6"/>
      <c r="D133" s="6"/>
      <c r="E133" s="6"/>
      <c r="F133" s="6"/>
      <c r="G133" s="6"/>
      <c r="H133" s="6"/>
      <c r="I133" s="6"/>
      <c r="J133" s="6"/>
      <c r="K133" s="6"/>
      <c r="L133" s="6"/>
      <c r="M133" s="6"/>
      <c r="N133" s="6"/>
      <c r="O133" s="6"/>
      <c r="P133" s="6"/>
      <c r="Q133" s="6"/>
    </row>
    <row r="134" spans="1:17">
      <c r="A134" s="6"/>
      <c r="B134" s="6"/>
      <c r="C134" s="6"/>
      <c r="D134" s="6"/>
      <c r="E134" s="6"/>
      <c r="F134" s="6"/>
      <c r="G134" s="6"/>
      <c r="H134" s="6"/>
      <c r="I134" s="6"/>
      <c r="J134" s="6"/>
      <c r="K134" s="6"/>
      <c r="L134" s="6"/>
      <c r="M134" s="6"/>
      <c r="N134" s="6"/>
      <c r="O134" s="6"/>
      <c r="P134" s="6"/>
      <c r="Q134" s="6"/>
    </row>
    <row r="135" spans="1:17" ht="21">
      <c r="A135" s="6"/>
      <c r="B135" s="44"/>
      <c r="C135" s="76" t="str">
        <f>IF(AND(G19&gt;4,F30&gt;0),Překlady!C64,"")</f>
        <v/>
      </c>
      <c r="D135" s="6"/>
      <c r="E135" s="6"/>
      <c r="F135" s="6"/>
      <c r="G135" s="6"/>
      <c r="H135" s="6"/>
      <c r="I135" s="6"/>
      <c r="J135" s="6"/>
      <c r="K135" s="6"/>
      <c r="L135" s="6"/>
      <c r="M135" s="6"/>
      <c r="N135" s="6"/>
      <c r="O135" s="6"/>
      <c r="P135" s="6"/>
      <c r="Q135" s="6"/>
    </row>
    <row r="136" spans="1:17">
      <c r="A136" s="6"/>
      <c r="B136" s="6"/>
      <c r="C136" s="6"/>
      <c r="D136" s="6"/>
      <c r="E136" s="6"/>
      <c r="F136" s="6"/>
      <c r="G136" s="6"/>
      <c r="H136" s="6"/>
      <c r="I136" s="6"/>
      <c r="J136" s="6"/>
      <c r="K136" s="6"/>
      <c r="L136" s="6"/>
      <c r="M136" s="6"/>
      <c r="N136" s="6"/>
      <c r="O136" s="6"/>
      <c r="P136" s="6"/>
      <c r="Q136" s="6"/>
    </row>
    <row r="137" spans="1:17" ht="20.25" customHeight="1">
      <c r="A137" s="6"/>
      <c r="B137" s="61"/>
      <c r="C137" s="99" t="str">
        <f>IF(G19&gt;4,VLOOKUP(F28,nákresy!B2:C5,2,0),"")</f>
        <v/>
      </c>
      <c r="D137" s="99"/>
      <c r="E137" s="99"/>
      <c r="F137" s="99"/>
      <c r="G137" s="99"/>
      <c r="H137" s="99"/>
      <c r="I137" s="6"/>
      <c r="J137" s="6"/>
      <c r="K137" s="6"/>
      <c r="L137" s="6"/>
      <c r="M137" s="6"/>
      <c r="N137" s="6"/>
      <c r="O137" s="6"/>
      <c r="P137" s="6"/>
      <c r="Q137" s="6"/>
    </row>
    <row r="138" spans="1:17" ht="20.25" customHeight="1">
      <c r="A138" s="6"/>
      <c r="B138" s="61"/>
      <c r="C138" s="99"/>
      <c r="D138" s="99"/>
      <c r="E138" s="99"/>
      <c r="F138" s="99"/>
      <c r="G138" s="99"/>
      <c r="H138" s="99"/>
      <c r="I138" s="6"/>
      <c r="J138" s="6"/>
      <c r="K138" s="6"/>
      <c r="L138" s="6"/>
      <c r="M138" s="6"/>
      <c r="N138" s="6"/>
      <c r="O138" s="6"/>
      <c r="P138" s="6"/>
      <c r="Q138" s="6"/>
    </row>
    <row r="139" spans="1:17" ht="20.25" customHeight="1">
      <c r="A139" s="6"/>
      <c r="B139" s="61"/>
      <c r="C139" s="99"/>
      <c r="D139" s="99"/>
      <c r="E139" s="99"/>
      <c r="F139" s="99"/>
      <c r="G139" s="99"/>
      <c r="H139" s="99"/>
      <c r="I139" s="6"/>
      <c r="J139" s="6"/>
      <c r="K139" s="6"/>
      <c r="L139" s="6"/>
      <c r="M139" s="6"/>
      <c r="N139" s="6"/>
      <c r="O139" s="6"/>
      <c r="P139" s="6"/>
      <c r="Q139" s="6"/>
    </row>
    <row r="140" spans="1:17" ht="20.25" customHeight="1">
      <c r="A140" s="6"/>
      <c r="B140" s="102" t="str">
        <f>IF(G19&gt;4,IF(F28=249,32,""),"")</f>
        <v/>
      </c>
      <c r="C140" s="99"/>
      <c r="D140" s="99"/>
      <c r="E140" s="99"/>
      <c r="F140" s="99"/>
      <c r="G140" s="99"/>
      <c r="H140" s="99"/>
      <c r="I140" s="6"/>
      <c r="J140" s="6"/>
      <c r="K140" s="6"/>
      <c r="L140" s="6"/>
      <c r="M140" s="6"/>
      <c r="N140" s="6"/>
      <c r="O140" s="6"/>
      <c r="P140" s="6"/>
      <c r="Q140" s="6"/>
    </row>
    <row r="141" spans="1:17" ht="20.25" customHeight="1">
      <c r="A141" s="6"/>
      <c r="B141" s="102"/>
      <c r="C141" s="99"/>
      <c r="D141" s="99"/>
      <c r="E141" s="99"/>
      <c r="F141" s="99"/>
      <c r="G141" s="99"/>
      <c r="H141" s="99"/>
      <c r="I141" s="6"/>
      <c r="J141" s="6"/>
      <c r="K141" s="6"/>
      <c r="L141" s="6"/>
      <c r="M141" s="6"/>
      <c r="N141" s="6"/>
      <c r="O141" s="6"/>
      <c r="P141" s="6"/>
      <c r="Q141" s="6"/>
    </row>
    <row r="142" spans="1:17" ht="20.25" customHeight="1">
      <c r="A142" s="6"/>
      <c r="B142" s="61"/>
      <c r="C142" s="99"/>
      <c r="D142" s="99"/>
      <c r="E142" s="99"/>
      <c r="F142" s="99"/>
      <c r="G142" s="99"/>
      <c r="H142" s="99"/>
      <c r="I142" s="6"/>
      <c r="J142" s="6"/>
      <c r="K142" s="6"/>
      <c r="L142" s="6"/>
      <c r="M142" s="6"/>
      <c r="N142" s="6"/>
      <c r="O142" s="6"/>
      <c r="P142" s="6"/>
      <c r="Q142" s="6"/>
    </row>
    <row r="143" spans="1:17" ht="20.25" customHeight="1">
      <c r="A143" s="6"/>
      <c r="B143" s="63" t="str">
        <f>IF(G19&gt;4,IF(OR(F28=89,F28=185,F28=249),32,""),"")</f>
        <v/>
      </c>
      <c r="C143" s="99"/>
      <c r="D143" s="99"/>
      <c r="E143" s="99"/>
      <c r="F143" s="99"/>
      <c r="G143" s="99"/>
      <c r="H143" s="99"/>
      <c r="I143" s="6"/>
      <c r="J143" s="6"/>
      <c r="K143" s="6"/>
      <c r="L143" s="6"/>
      <c r="M143" s="6"/>
      <c r="N143" s="6"/>
      <c r="O143" s="6"/>
      <c r="P143" s="6"/>
      <c r="Q143" s="6"/>
    </row>
    <row r="144" spans="1:17" ht="20.25" customHeight="1">
      <c r="A144" s="6"/>
      <c r="B144" s="61"/>
      <c r="C144" s="99"/>
      <c r="D144" s="99"/>
      <c r="E144" s="99"/>
      <c r="F144" s="99"/>
      <c r="G144" s="99"/>
      <c r="H144" s="99"/>
      <c r="I144" s="6"/>
      <c r="J144" s="6"/>
      <c r="K144" s="6"/>
      <c r="L144" s="6"/>
      <c r="M144" s="6"/>
      <c r="N144" s="6"/>
      <c r="O144" s="6"/>
      <c r="P144" s="6"/>
      <c r="Q144" s="6"/>
    </row>
    <row r="145" spans="1:17" ht="20.25" customHeight="1">
      <c r="A145" s="6"/>
      <c r="B145" s="61"/>
      <c r="C145" s="99"/>
      <c r="D145" s="99"/>
      <c r="E145" s="99"/>
      <c r="F145" s="99"/>
      <c r="G145" s="99"/>
      <c r="H145" s="99"/>
      <c r="I145" s="6"/>
      <c r="J145" s="6"/>
      <c r="K145" s="6"/>
      <c r="L145" s="6"/>
      <c r="M145" s="6"/>
      <c r="N145" s="6"/>
      <c r="O145" s="6"/>
      <c r="P145" s="6"/>
      <c r="Q145" s="6"/>
    </row>
    <row r="146" spans="1:17" ht="20.25" customHeight="1">
      <c r="A146" s="6"/>
      <c r="B146" s="61" t="str">
        <f>IF(G19&gt;4,IF(F28=249,32,""),"")</f>
        <v/>
      </c>
      <c r="C146" s="99"/>
      <c r="D146" s="99"/>
      <c r="E146" s="99"/>
      <c r="F146" s="99"/>
      <c r="G146" s="99"/>
      <c r="H146" s="99"/>
      <c r="I146" s="6"/>
      <c r="J146" s="6"/>
      <c r="K146" s="6"/>
      <c r="L146" s="6"/>
      <c r="M146" s="6"/>
      <c r="N146" s="6"/>
      <c r="O146" s="6"/>
      <c r="P146" s="6"/>
      <c r="Q146" s="6"/>
    </row>
    <row r="147" spans="1:17" ht="20.25" customHeight="1">
      <c r="A147" s="6"/>
      <c r="B147" s="61" t="str">
        <f>IF(G19&gt;4,IF(F28=185,64,""),"")</f>
        <v/>
      </c>
      <c r="C147" s="99"/>
      <c r="D147" s="99"/>
      <c r="E147" s="99"/>
      <c r="F147" s="99"/>
      <c r="G147" s="99"/>
      <c r="H147" s="99"/>
      <c r="I147" s="95" t="str">
        <f>IF(AND(G19&gt;4,F28&gt;0),D28-$G$21,"")</f>
        <v/>
      </c>
      <c r="J147" s="6"/>
      <c r="K147" s="6"/>
      <c r="L147" s="6"/>
      <c r="M147" s="6"/>
      <c r="N147" s="6"/>
      <c r="O147" s="6"/>
      <c r="P147" s="6"/>
      <c r="Q147" s="6"/>
    </row>
    <row r="148" spans="1:17" ht="20.25" customHeight="1">
      <c r="A148" s="6"/>
      <c r="B148" s="61" t="str">
        <f>IF(G19&gt;4,IF(F28=121,32,""),"")</f>
        <v/>
      </c>
      <c r="C148" s="99"/>
      <c r="D148" s="99"/>
      <c r="E148" s="99"/>
      <c r="F148" s="99"/>
      <c r="G148" s="99"/>
      <c r="H148" s="99"/>
      <c r="I148" s="95"/>
      <c r="J148" s="6"/>
      <c r="K148" s="6"/>
      <c r="L148" s="6"/>
      <c r="M148" s="6"/>
      <c r="N148" s="6"/>
      <c r="O148" s="6"/>
      <c r="P148" s="6"/>
      <c r="Q148" s="6"/>
    </row>
    <row r="149" spans="1:17" ht="20.25" customHeight="1">
      <c r="A149" s="6"/>
      <c r="B149" s="102" t="str">
        <f>IF(G19&gt;4,IF(F28=249,"64",""),"")</f>
        <v/>
      </c>
      <c r="C149" s="99"/>
      <c r="D149" s="99"/>
      <c r="E149" s="99"/>
      <c r="F149" s="99"/>
      <c r="G149" s="99"/>
      <c r="H149" s="99"/>
      <c r="I149" s="58"/>
      <c r="J149" s="6"/>
      <c r="K149" s="6"/>
      <c r="L149" s="6"/>
      <c r="M149" s="6"/>
      <c r="N149" s="6"/>
      <c r="O149" s="6"/>
      <c r="P149" s="6"/>
      <c r="Q149" s="6"/>
    </row>
    <row r="150" spans="1:17" ht="20.25" customHeight="1">
      <c r="A150" s="6"/>
      <c r="B150" s="102"/>
      <c r="C150" s="99"/>
      <c r="D150" s="99"/>
      <c r="E150" s="99"/>
      <c r="F150" s="99"/>
      <c r="G150" s="99"/>
      <c r="H150" s="99"/>
      <c r="I150" s="58"/>
      <c r="J150" s="6"/>
      <c r="K150" s="6"/>
      <c r="L150" s="6"/>
      <c r="M150" s="6"/>
      <c r="N150" s="6"/>
      <c r="O150" s="6"/>
      <c r="P150" s="6"/>
      <c r="Q150" s="6"/>
    </row>
    <row r="151" spans="1:17" ht="20.25" customHeight="1">
      <c r="A151" s="6"/>
      <c r="B151" s="102" t="str">
        <f>IF(G19&gt;4,IF(F28=185,32,IF(F28=89,61.5+5,"")),"")</f>
        <v/>
      </c>
      <c r="C151" s="99"/>
      <c r="D151" s="99"/>
      <c r="E151" s="99"/>
      <c r="F151" s="99"/>
      <c r="G151" s="99"/>
      <c r="H151" s="99"/>
      <c r="I151" s="6"/>
      <c r="J151" s="6"/>
      <c r="K151" s="6"/>
      <c r="L151" s="6"/>
      <c r="M151" s="6"/>
      <c r="N151" s="6"/>
      <c r="O151" s="6"/>
      <c r="P151" s="6"/>
      <c r="Q151" s="6"/>
    </row>
    <row r="152" spans="1:17" ht="20.25" customHeight="1">
      <c r="A152" s="6"/>
      <c r="B152" s="102"/>
      <c r="C152" s="99"/>
      <c r="D152" s="99"/>
      <c r="E152" s="99"/>
      <c r="F152" s="99"/>
      <c r="G152" s="99"/>
      <c r="H152" s="99"/>
      <c r="I152" s="6"/>
      <c r="J152" s="6"/>
      <c r="K152" s="6"/>
      <c r="L152" s="6"/>
      <c r="M152" s="6"/>
      <c r="N152" s="6"/>
      <c r="O152" s="6"/>
      <c r="P152" s="6"/>
      <c r="Q152" s="6"/>
    </row>
    <row r="153" spans="1:17" ht="20.25" customHeight="1">
      <c r="A153" s="6"/>
      <c r="B153" s="61" t="str">
        <f>IF(G19&gt;4,IF(F28=249,32,""),"")</f>
        <v/>
      </c>
      <c r="C153" s="99"/>
      <c r="D153" s="99"/>
      <c r="E153" s="99"/>
      <c r="F153" s="99"/>
      <c r="G153" s="99"/>
      <c r="H153" s="99"/>
      <c r="I153" s="6"/>
      <c r="J153" s="6"/>
      <c r="K153" s="6"/>
      <c r="L153" s="6"/>
      <c r="M153" s="6"/>
      <c r="N153" s="6"/>
      <c r="O153" s="6"/>
      <c r="P153" s="6"/>
      <c r="Q153" s="6"/>
    </row>
    <row r="154" spans="1:17" ht="20.25" customHeight="1">
      <c r="A154" s="6"/>
      <c r="B154" s="103" t="str">
        <f>IF(G19&gt;4,IF(F28=121,61.5+5,""),"")</f>
        <v/>
      </c>
      <c r="C154" s="99"/>
      <c r="D154" s="99"/>
      <c r="E154" s="99"/>
      <c r="F154" s="99"/>
      <c r="G154" s="99"/>
      <c r="H154" s="99"/>
      <c r="I154" s="6"/>
      <c r="J154" s="6"/>
      <c r="K154" s="6"/>
      <c r="L154" s="6"/>
      <c r="M154" s="6"/>
      <c r="N154" s="6"/>
      <c r="O154" s="6"/>
      <c r="P154" s="6"/>
      <c r="Q154" s="6"/>
    </row>
    <row r="155" spans="1:17" ht="20.25" customHeight="1">
      <c r="A155" s="6"/>
      <c r="B155" s="103"/>
      <c r="C155" s="99"/>
      <c r="D155" s="99"/>
      <c r="E155" s="99"/>
      <c r="F155" s="99"/>
      <c r="G155" s="99"/>
      <c r="H155" s="99"/>
      <c r="I155" s="6"/>
      <c r="J155" s="6"/>
      <c r="K155" s="6"/>
      <c r="L155" s="6"/>
      <c r="M155" s="6"/>
      <c r="N155" s="6"/>
      <c r="O155" s="6"/>
      <c r="P155" s="6"/>
      <c r="Q155" s="6"/>
    </row>
    <row r="156" spans="1:17" ht="20.25" customHeight="1">
      <c r="A156" s="6"/>
      <c r="B156" s="112" t="str">
        <f>IF(G19&gt;4,IF(OR(F28=185,F28=249),61.5+5,""),"")</f>
        <v/>
      </c>
      <c r="C156" s="99"/>
      <c r="D156" s="99"/>
      <c r="E156" s="99"/>
      <c r="F156" s="99"/>
      <c r="G156" s="99"/>
      <c r="H156" s="99"/>
      <c r="I156" s="6"/>
      <c r="J156" s="6"/>
      <c r="K156" s="6"/>
      <c r="L156" s="6"/>
      <c r="M156" s="6"/>
      <c r="N156" s="6"/>
      <c r="O156" s="6"/>
      <c r="P156" s="6"/>
      <c r="Q156" s="6"/>
    </row>
    <row r="157" spans="1:17" ht="20.25" customHeight="1">
      <c r="A157" s="6"/>
      <c r="B157" s="112"/>
      <c r="C157" s="99"/>
      <c r="D157" s="99"/>
      <c r="E157" s="99"/>
      <c r="F157" s="99"/>
      <c r="G157" s="99"/>
      <c r="H157" s="99"/>
      <c r="I157" s="6"/>
      <c r="J157" s="6"/>
      <c r="K157" s="6"/>
      <c r="L157" s="6"/>
      <c r="M157" s="6"/>
      <c r="N157" s="6"/>
      <c r="O157" s="6"/>
      <c r="P157" s="6"/>
      <c r="Q157" s="6"/>
    </row>
    <row r="158" spans="1:17" ht="20.25" customHeight="1">
      <c r="A158" s="6"/>
      <c r="B158" s="61"/>
      <c r="C158" s="99"/>
      <c r="D158" s="99"/>
      <c r="E158" s="99"/>
      <c r="F158" s="99"/>
      <c r="G158" s="99"/>
      <c r="H158" s="99"/>
      <c r="I158" s="6"/>
      <c r="J158" s="6"/>
      <c r="K158" s="6"/>
      <c r="L158" s="6"/>
      <c r="M158" s="6"/>
      <c r="N158" s="6"/>
      <c r="O158" s="6"/>
      <c r="P158" s="6"/>
      <c r="Q158" s="6"/>
    </row>
    <row r="159" spans="1:17" ht="20.25" customHeight="1">
      <c r="A159" s="6"/>
      <c r="B159" s="61"/>
      <c r="C159" s="99"/>
      <c r="D159" s="99"/>
      <c r="E159" s="99"/>
      <c r="F159" s="99"/>
      <c r="G159" s="99"/>
      <c r="H159" s="99"/>
      <c r="I159" s="6"/>
      <c r="J159" s="6"/>
      <c r="K159" s="6"/>
      <c r="L159" s="6"/>
      <c r="M159" s="6"/>
      <c r="N159" s="6"/>
      <c r="O159" s="6"/>
      <c r="P159" s="6"/>
      <c r="Q159" s="6"/>
    </row>
    <row r="160" spans="1:17" ht="20.25" customHeight="1">
      <c r="A160" s="6"/>
      <c r="B160" s="61"/>
      <c r="C160" s="99"/>
      <c r="D160" s="99"/>
      <c r="E160" s="99"/>
      <c r="F160" s="99"/>
      <c r="G160" s="99"/>
      <c r="H160" s="99"/>
      <c r="I160" s="6"/>
      <c r="J160" s="6"/>
      <c r="K160" s="6"/>
      <c r="L160" s="6"/>
      <c r="M160" s="6"/>
      <c r="N160" s="6"/>
      <c r="O160" s="6"/>
      <c r="P160" s="6"/>
      <c r="Q160" s="6"/>
    </row>
    <row r="161" spans="1:17" ht="20.25" customHeight="1">
      <c r="A161" s="6"/>
      <c r="B161" s="61"/>
      <c r="C161" s="99"/>
      <c r="D161" s="99"/>
      <c r="E161" s="99"/>
      <c r="F161" s="99"/>
      <c r="G161" s="99"/>
      <c r="H161" s="99"/>
      <c r="I161" s="6"/>
      <c r="J161" s="6"/>
      <c r="K161" s="6"/>
      <c r="L161" s="6"/>
      <c r="M161" s="6"/>
      <c r="N161" s="6"/>
      <c r="O161" s="6"/>
      <c r="P161" s="6"/>
      <c r="Q161" s="6"/>
    </row>
    <row r="162" spans="1:17" ht="20.25" customHeight="1">
      <c r="A162" s="6"/>
      <c r="B162" s="6"/>
      <c r="C162" s="6"/>
      <c r="D162" s="65" t="str">
        <f>IF(G19&gt;4,14.5+G13-G17,"")</f>
        <v/>
      </c>
      <c r="E162" s="6"/>
      <c r="F162" s="6"/>
      <c r="G162" s="6"/>
      <c r="H162" s="6"/>
      <c r="I162" s="6"/>
      <c r="J162" s="6"/>
      <c r="K162" s="6"/>
      <c r="L162" s="6"/>
      <c r="M162" s="6"/>
      <c r="N162" s="6"/>
      <c r="O162" s="6"/>
      <c r="P162" s="6"/>
      <c r="Q162" s="6"/>
    </row>
    <row r="163" spans="1:17">
      <c r="A163" s="6"/>
      <c r="B163" s="6"/>
      <c r="C163" s="6"/>
      <c r="D163" s="66"/>
      <c r="E163" s="6"/>
      <c r="F163" s="6"/>
      <c r="G163" s="6"/>
      <c r="H163" s="6"/>
      <c r="I163" s="6"/>
      <c r="J163" s="6"/>
      <c r="K163" s="6"/>
      <c r="L163" s="6"/>
      <c r="M163" s="6"/>
      <c r="N163" s="6"/>
      <c r="O163" s="6"/>
      <c r="P163" s="6"/>
      <c r="Q163" s="6"/>
    </row>
    <row r="164" spans="1:17">
      <c r="A164" s="6"/>
      <c r="B164" s="6"/>
      <c r="C164" s="6"/>
      <c r="D164" s="6"/>
      <c r="E164" s="6"/>
      <c r="F164" s="6"/>
      <c r="G164" s="6"/>
      <c r="H164" s="6"/>
      <c r="I164" s="6"/>
      <c r="J164" s="6"/>
      <c r="K164" s="6"/>
      <c r="L164" s="6"/>
      <c r="M164" s="6"/>
      <c r="N164" s="6"/>
      <c r="O164" s="6"/>
      <c r="P164" s="6"/>
      <c r="Q164" s="6"/>
    </row>
    <row r="165" spans="1:17">
      <c r="A165" s="6"/>
      <c r="B165" s="6"/>
      <c r="C165" s="6"/>
      <c r="D165" s="6"/>
      <c r="E165" s="6"/>
      <c r="F165" s="6"/>
      <c r="G165" s="6"/>
      <c r="H165" s="6"/>
      <c r="I165" s="6"/>
      <c r="J165" s="6"/>
      <c r="K165" s="6"/>
      <c r="L165" s="6"/>
      <c r="M165" s="6"/>
      <c r="N165" s="6"/>
      <c r="O165" s="6"/>
      <c r="P165" s="6"/>
      <c r="Q165" s="6"/>
    </row>
    <row r="166" spans="1:17">
      <c r="A166" s="6"/>
      <c r="B166" s="6"/>
      <c r="C166" s="6"/>
      <c r="D166" s="6"/>
      <c r="E166" s="6"/>
      <c r="F166" s="6"/>
      <c r="G166" s="6"/>
      <c r="H166" s="6"/>
      <c r="I166" s="6"/>
      <c r="J166" s="6"/>
      <c r="K166" s="6"/>
      <c r="L166" s="6"/>
      <c r="M166" s="6"/>
      <c r="N166" s="6"/>
      <c r="O166" s="6"/>
      <c r="P166" s="6"/>
      <c r="Q166" s="6"/>
    </row>
    <row r="167" spans="1:17"/>
    <row r="168" spans="1:17"/>
    <row r="169" spans="1:17"/>
    <row r="170" spans="1:17"/>
    <row r="171" spans="1:17"/>
    <row r="172" spans="1:17"/>
    <row r="173" spans="1:17"/>
    <row r="174" spans="1:17"/>
    <row r="175" spans="1:17"/>
    <row r="176" spans="1:17"/>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sheetData>
  <sheetProtection algorithmName="SHA-512" hashValue="Ug8/+woHuVCTb7OycPn8eF3c2lxD+/lGl+6c/+1jW448T6/J6plf1T+mcfzYSww54zaHygpkCdW6tHE6sn/Otg==" saltValue="XuIMBqwru69yqMdvJ3/sbQ==" spinCount="100000" sheet="1" objects="1" scenarios="1" selectLockedCells="1"/>
  <mergeCells count="67">
    <mergeCell ref="J125:J126"/>
    <mergeCell ref="K76:P100"/>
    <mergeCell ref="E27:E31"/>
    <mergeCell ref="J95:J96"/>
    <mergeCell ref="J88:J89"/>
    <mergeCell ref="J118:J119"/>
    <mergeCell ref="J120:J121"/>
    <mergeCell ref="J122:J123"/>
    <mergeCell ref="C137:H161"/>
    <mergeCell ref="B120:B121"/>
    <mergeCell ref="B122:B123"/>
    <mergeCell ref="B125:B126"/>
    <mergeCell ref="B154:B155"/>
    <mergeCell ref="B156:B157"/>
    <mergeCell ref="B151:B152"/>
    <mergeCell ref="B140:B141"/>
    <mergeCell ref="B149:B150"/>
    <mergeCell ref="A49:A64"/>
    <mergeCell ref="A27:A31"/>
    <mergeCell ref="B19:F19"/>
    <mergeCell ref="B20:F20"/>
    <mergeCell ref="B21:F21"/>
    <mergeCell ref="B22:F22"/>
    <mergeCell ref="B30:C30"/>
    <mergeCell ref="B31:C31"/>
    <mergeCell ref="B27:C27"/>
    <mergeCell ref="B28:C28"/>
    <mergeCell ref="B29:C29"/>
    <mergeCell ref="D25:D26"/>
    <mergeCell ref="B25:C26"/>
    <mergeCell ref="M2:N3"/>
    <mergeCell ref="I31:K31"/>
    <mergeCell ref="I25:K26"/>
    <mergeCell ref="I27:K27"/>
    <mergeCell ref="I28:K28"/>
    <mergeCell ref="I29:K29"/>
    <mergeCell ref="I30:K30"/>
    <mergeCell ref="I5:K23"/>
    <mergeCell ref="B95:B96"/>
    <mergeCell ref="B9:F9"/>
    <mergeCell ref="B10:F10"/>
    <mergeCell ref="B12:F12"/>
    <mergeCell ref="B13:F13"/>
    <mergeCell ref="B37:D38"/>
    <mergeCell ref="B14:F14"/>
    <mergeCell ref="B15:F15"/>
    <mergeCell ref="F25:F26"/>
    <mergeCell ref="B16:F16"/>
    <mergeCell ref="B17:F17"/>
    <mergeCell ref="B18:F18"/>
    <mergeCell ref="B11:G11"/>
    <mergeCell ref="I147:I148"/>
    <mergeCell ref="Q116:Q117"/>
    <mergeCell ref="B118:B119"/>
    <mergeCell ref="B88:B89"/>
    <mergeCell ref="H25:H26"/>
    <mergeCell ref="E25:E26"/>
    <mergeCell ref="G25:G26"/>
    <mergeCell ref="C106:H130"/>
    <mergeCell ref="K106:P130"/>
    <mergeCell ref="I116:I117"/>
    <mergeCell ref="B90:B91"/>
    <mergeCell ref="I87:I88"/>
    <mergeCell ref="Q86:Q87"/>
    <mergeCell ref="C76:H100"/>
    <mergeCell ref="J90:J91"/>
    <mergeCell ref="B92:B93"/>
  </mergeCells>
  <phoneticPr fontId="2" type="noConversion"/>
  <conditionalFormatting sqref="B21">
    <cfRule type="expression" dxfId="6" priority="10">
      <formula>B21=0</formula>
    </cfRule>
  </conditionalFormatting>
  <conditionalFormatting sqref="D27">
    <cfRule type="expression" dxfId="5" priority="6">
      <formula>AND($C$17&gt;4, $C$17&lt;6)</formula>
    </cfRule>
  </conditionalFormatting>
  <conditionalFormatting sqref="D28">
    <cfRule type="expression" dxfId="4" priority="7">
      <formula>AND($C$17&gt;3, $C$17&lt;6)</formula>
    </cfRule>
  </conditionalFormatting>
  <conditionalFormatting sqref="D29">
    <cfRule type="expression" dxfId="3" priority="8">
      <formula>AND($C$17&gt;2, $C$17&lt;6)</formula>
    </cfRule>
  </conditionalFormatting>
  <conditionalFormatting sqref="D30">
    <cfRule type="expression" dxfId="2" priority="5">
      <formula>AND($C$17&gt;0, $C$17&lt;6)</formula>
    </cfRule>
  </conditionalFormatting>
  <conditionalFormatting sqref="G21">
    <cfRule type="expression" dxfId="1" priority="1">
      <formula>B21=0</formula>
    </cfRule>
  </conditionalFormatting>
  <conditionalFormatting sqref="G22">
    <cfRule type="cellIs" dxfId="0" priority="4" operator="equal">
      <formula>0</formula>
    </cfRule>
    <cfRule type="colorScale" priority="11">
      <colorScale>
        <cfvo type="num" val="-0.1"/>
        <cfvo type="num" val="0"/>
        <cfvo type="num" val="1"/>
        <color rgb="FFFF0000"/>
        <color theme="9"/>
        <color rgb="FFFFFF00"/>
      </colorScale>
    </cfRule>
  </conditionalFormatting>
  <dataValidations xWindow="570" yWindow="565" count="26">
    <dataValidation type="whole" allowBlank="1" showInputMessage="1" showErrorMessage="1" error="MAX 1200" sqref="G9" xr:uid="{E518663F-2DB7-4605-AD79-BE18D4240378}">
      <formula1>50</formula1>
      <formula2>1200</formula2>
    </dataValidation>
    <dataValidation type="whole" allowBlank="1" showInputMessage="1" showErrorMessage="1" error="MAX 1200" sqref="G10" xr:uid="{E689F8E0-BBD8-44B5-ACAF-9E4DE261CCFF}">
      <formula1>200</formula1>
      <formula2>1200</formula2>
    </dataValidation>
    <dataValidation type="whole" allowBlank="1" showInputMessage="1" showErrorMessage="1" sqref="G12:G13" xr:uid="{0FA5613E-26A9-4F03-AAB3-29B52513298B}">
      <formula1>14</formula1>
      <formula2>22</formula2>
    </dataValidation>
    <dataValidation type="whole" operator="greaterThanOrEqual" allowBlank="1" showInputMessage="1" showErrorMessage="1" sqref="G14" xr:uid="{25CD28FC-6FF1-4530-8426-EF35ADDD13CE}">
      <formula1>0</formula1>
    </dataValidation>
    <dataValidation type="whole" allowBlank="1" showInputMessage="1" showErrorMessage="1" sqref="G15" xr:uid="{89E86C1C-9283-456B-A0C1-07D700B4DDD1}">
      <formula1>0</formula1>
      <formula2>10</formula2>
    </dataValidation>
    <dataValidation type="whole" allowBlank="1" showInputMessage="1" showErrorMessage="1" sqref="G21" xr:uid="{1687A6EA-0D92-4FAD-ABD1-A84044AA7180}">
      <formula1>5</formula1>
      <formula2>150</formula2>
    </dataValidation>
    <dataValidation type="list" operator="lessThan" allowBlank="1" showInputMessage="1" showErrorMessage="1" sqref="G18" xr:uid="{D997A030-BC16-4EFF-ACB6-CD640AD7D902}">
      <formula1>"300,350,400,450,500,550,600,650"</formula1>
    </dataValidation>
    <dataValidation type="list" allowBlank="1" showInputMessage="1" showErrorMessage="1" sqref="G19" xr:uid="{C0D3D3B8-9254-4841-8BB1-BD0C081E8B7D}">
      <formula1>"1,2,3,4,5"</formula1>
    </dataValidation>
    <dataValidation type="list" allowBlank="1" showInputMessage="1" showErrorMessage="1" sqref="E27" xr:uid="{9F1863E0-D9A9-4CCC-80FE-18C38427454B}">
      <formula1>$AA$5:$AA$7</formula1>
    </dataValidation>
    <dataValidation type="list" allowBlank="1" showInputMessage="1" showErrorMessage="1" sqref="F31" xr:uid="{8E246400-CAAF-42B0-84D8-6C7D1CAFE70D}">
      <formula1>IF(AB31=Y5,ČTYŘI_VÝŠKY,(IF(AB31=X5,TŘI_VÝŠKY,(IF(AB31=W5,DVĚ_VÝŠKY,JEDNA_VÝŠKA)))))</formula1>
    </dataValidation>
    <dataValidation type="list" allowBlank="1" showInputMessage="1" showErrorMessage="1" sqref="F30" xr:uid="{A83A4595-E574-4CFD-9394-5CE3333CC657}">
      <formula1>IF(AB30=Y5,ČTYŘI_VÝŠKY,(IF(AB30=X5,TŘI_VÝŠKY,(IF(AB30=W5,DVĚ_VÝŠKY,JEDNA_VÝŠKA)))))</formula1>
    </dataValidation>
    <dataValidation type="list" allowBlank="1" showInputMessage="1" showErrorMessage="1" sqref="F29" xr:uid="{FCF76CA8-806B-4548-AE9B-0D4D7F6AB480}">
      <formula1>IF(AB29=Y5,ČTYŘI_VÝŠKY,(IF(AB29=X5,TŘI_VÝŠKY,(IF(AB29=W5,DVĚ_VÝŠKY,JEDNA_VÝŠKA)))))</formula1>
    </dataValidation>
    <dataValidation type="list" allowBlank="1" showInputMessage="1" showErrorMessage="1" sqref="F28" xr:uid="{A0E48B4B-5C8D-49CE-8E5F-39AF897C125A}">
      <formula1>IF(AB28=Y5,ČTYŘI_VÝŠKY,(IF(AB28=X5,TŘI_VÝŠKY,(IF(AB28=W5,DVĚ_VÝŠKY,JEDNA_VÝŠKA)))))</formula1>
    </dataValidation>
    <dataValidation type="list" allowBlank="1" showInputMessage="1" showErrorMessage="1" sqref="F27" xr:uid="{D2B3BC7F-B380-448D-8DFB-C23DB8358BC0}">
      <formula1>IF(AB27=Y5,ČTYŘI_VÝŠKY,(IF(AB27=X5,TŘI_VÝŠKY,(IF(AB27=W5,DVĚ_VÝŠKY,JEDNA_VÝŠKA)))))</formula1>
    </dataValidation>
    <dataValidation type="list" allowBlank="1" showInputMessage="1" showErrorMessage="1" sqref="G20" xr:uid="{5E6DD6D4-6EBD-48AA-B11B-128DC8DFBA8F}">
      <formula1>$AG$5:$AG$6</formula1>
    </dataValidation>
    <dataValidation type="list" allowBlank="1" showInputMessage="1" showErrorMessage="1" sqref="G30" xr:uid="{07FF6064-6C95-4B54-9442-FD99993F5C40}">
      <formula1>IF($W$30=1,$AG$5:$AG$6,$AG$7)</formula1>
    </dataValidation>
    <dataValidation type="list" allowBlank="1" showInputMessage="1" showErrorMessage="1" sqref="G31" xr:uid="{4F8B83DE-AF65-47BA-ADD6-10D200BD6763}">
      <formula1>IF($W$31=1,$AG$5:$AG$6,$AG$7)</formula1>
    </dataValidation>
    <dataValidation type="list" allowBlank="1" showInputMessage="1" showErrorMessage="1" sqref="G29" xr:uid="{8A4F299F-E1C4-4953-991C-A5550AF633CA}">
      <formula1>IF($W$29=1,$AG$5:$AG$6,$AG$7)</formula1>
    </dataValidation>
    <dataValidation type="list" allowBlank="1" showInputMessage="1" showErrorMessage="1" sqref="G28" xr:uid="{751C37C6-D810-4B02-8B65-474D69146E77}">
      <formula1>IF($W$28=1,$AG$5:$AG$6,$AG$7)</formula1>
    </dataValidation>
    <dataValidation type="list" allowBlank="1" showInputMessage="1" showErrorMessage="1" sqref="G27" xr:uid="{DACC8CC7-0DE6-4E60-93A9-E2AF91A2C511}">
      <formula1>IF($W$27=1,$AG$5:$AG$6,$AG$7)</formula1>
    </dataValidation>
    <dataValidation type="whole" allowBlank="1" showInputMessage="1" showErrorMessage="1" sqref="G16:G17" xr:uid="{664F3C84-225F-4E6B-B502-46D01F54D076}">
      <formula1>0</formula1>
      <formula2>18</formula2>
    </dataValidation>
    <dataValidation type="whole" allowBlank="1" showInputMessage="1" showErrorMessage="1" error="Min 113" sqref="D30" xr:uid="{F6C0E131-10D7-46BF-B813-A680A7969C97}">
      <formula1>113</formula1>
      <formula2>1000</formula2>
    </dataValidation>
    <dataValidation type="whole" allowBlank="1" showInputMessage="1" showErrorMessage="1" error="Min 113" sqref="D28" xr:uid="{78C31E37-3572-4E3D-A9A6-C59ACC19ECDD}">
      <formula1>IF(G19=4,113+G12-G14,113)</formula1>
      <formula2>1000</formula2>
    </dataValidation>
    <dataValidation type="whole" allowBlank="1" showInputMessage="1" showErrorMessage="1" error="Min 113 + C - G" sqref="D31" xr:uid="{022762CA-2340-4675-8446-E70B98697301}">
      <formula1>113+(G12-G16)</formula1>
      <formula2>1000</formula2>
    </dataValidation>
    <dataValidation type="whole" allowBlank="1" showInputMessage="1" showErrorMessage="1" error="Min 113" sqref="D29" xr:uid="{0A19357C-3E16-489C-88C4-50B021F3DB59}">
      <formula1>IF(G19=3,113+G12-G14,113)</formula1>
      <formula2>1000</formula2>
    </dataValidation>
    <dataValidation type="whole" allowBlank="1" showInputMessage="1" showErrorMessage="1" error="Min 113" sqref="D27" xr:uid="{F3A1481F-249E-4E4D-A098-092C043B035B}">
      <formula1>113+G12-G14</formula1>
      <formula2>1000</formula2>
    </dataValidation>
  </dataValidations>
  <hyperlinks>
    <hyperlink ref="Q2:T3" location="Hlavní!A1" display="Hlavní!A1" xr:uid="{3C1D7B13-4849-4E99-B596-60A26C96A3A3}"/>
    <hyperlink ref="B37:D38" location="Menu!A1" display="Menu!A1" xr:uid="{B54D093E-7515-48CD-8E33-D07FB099BAB7}"/>
    <hyperlink ref="M2:N3" location="Úvod!A1" display="Úvod!A1" xr:uid="{DB9D369E-C7E6-46FA-B672-02893BEF188B}"/>
  </hyperlinks>
  <printOptions verticalCentered="1"/>
  <pageMargins left="3.937007874015748E-2" right="3.937007874015748E-2" top="3.937007874015748E-2" bottom="3.937007874015748E-2" header="0" footer="0"/>
  <pageSetup paperSize="9" scale="120" orientation="landscape" verticalDpi="6"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22F5-FEC0-4D00-8703-4C694FB08934}">
  <dimension ref="A2:AE49"/>
  <sheetViews>
    <sheetView showGridLines="0" zoomScale="70" zoomScaleNormal="70" workbookViewId="0">
      <selection activeCell="C16" sqref="C16"/>
    </sheetView>
  </sheetViews>
  <sheetFormatPr defaultRowHeight="14.4"/>
  <cols>
    <col min="30" max="30" width="7.88671875" customWidth="1"/>
    <col min="31" max="31" width="16.88671875" customWidth="1"/>
  </cols>
  <sheetData>
    <row r="2" spans="1:31">
      <c r="B2">
        <v>89</v>
      </c>
      <c r="C2" t="e" vm="2">
        <v>#VALUE!</v>
      </c>
    </row>
    <row r="3" spans="1:31">
      <c r="B3">
        <v>121</v>
      </c>
      <c r="C3" t="e" vm="3">
        <v>#VALUE!</v>
      </c>
    </row>
    <row r="4" spans="1:31">
      <c r="B4">
        <v>185</v>
      </c>
      <c r="C4" t="e" vm="4">
        <v>#VALUE!</v>
      </c>
    </row>
    <row r="5" spans="1:31">
      <c r="B5">
        <v>249</v>
      </c>
      <c r="C5" t="e" vm="5">
        <v>#VALUE!</v>
      </c>
    </row>
    <row r="7" spans="1:31" ht="14.25" customHeight="1">
      <c r="AE7" s="26"/>
    </row>
    <row r="8" spans="1:31" ht="14.25" customHeight="1">
      <c r="AE8" s="27"/>
    </row>
    <row r="9" spans="1:31" ht="14.25" customHeight="1">
      <c r="A9">
        <v>1</v>
      </c>
      <c r="B9" t="s">
        <v>0</v>
      </c>
      <c r="C9" t="e" vm="6">
        <v>#VALUE!</v>
      </c>
      <c r="AE9" s="26"/>
    </row>
    <row r="10" spans="1:31" ht="14.25" customHeight="1">
      <c r="A10">
        <v>2</v>
      </c>
      <c r="B10" t="s">
        <v>1</v>
      </c>
      <c r="C10" t="e" vm="6">
        <v>#VALUE!</v>
      </c>
      <c r="AE10" s="27"/>
    </row>
    <row r="11" spans="1:31" ht="14.25" customHeight="1">
      <c r="A11">
        <v>3</v>
      </c>
      <c r="B11" t="s">
        <v>2</v>
      </c>
      <c r="C11" t="e" vm="7">
        <v>#VALUE!</v>
      </c>
      <c r="AE11" s="26"/>
    </row>
    <row r="12" spans="1:31" ht="14.25" customHeight="1">
      <c r="A12">
        <v>4</v>
      </c>
      <c r="B12" t="s">
        <v>3</v>
      </c>
      <c r="C12" t="e" vm="8">
        <v>#VALUE!</v>
      </c>
      <c r="AE12" s="25"/>
    </row>
    <row r="13" spans="1:31" ht="14.25" customHeight="1">
      <c r="A13">
        <v>5</v>
      </c>
      <c r="B13" t="s">
        <v>4</v>
      </c>
      <c r="C13" t="e" vm="9">
        <v>#VALUE!</v>
      </c>
      <c r="AE13" s="28"/>
    </row>
    <row r="14" spans="1:31" ht="14.25" customHeight="1">
      <c r="A14">
        <v>6</v>
      </c>
      <c r="B14" t="s">
        <v>772</v>
      </c>
      <c r="C14" t="e" vm="10">
        <v>#VALUE!</v>
      </c>
      <c r="AE14" s="27"/>
    </row>
    <row r="15" spans="1:31" ht="14.25" customHeight="1">
      <c r="A15">
        <v>7</v>
      </c>
      <c r="B15" t="s">
        <v>773</v>
      </c>
      <c r="C15" t="e" vm="11">
        <v>#VALUE!</v>
      </c>
      <c r="AE15" s="26"/>
    </row>
    <row r="16" spans="1:31">
      <c r="A16">
        <v>8</v>
      </c>
      <c r="B16" t="s">
        <v>1041</v>
      </c>
      <c r="C16" t="e" vm="12">
        <v>#VALUE!</v>
      </c>
      <c r="AE16" s="27"/>
    </row>
    <row r="17" spans="3:31">
      <c r="C17" s="2"/>
      <c r="AE17" s="27"/>
    </row>
    <row r="18" spans="3:31">
      <c r="AE18" s="27"/>
    </row>
    <row r="19" spans="3:31">
      <c r="AE19" s="27"/>
    </row>
    <row r="20" spans="3:31">
      <c r="AE20" s="27"/>
    </row>
    <row r="21" spans="3:31">
      <c r="AE21" s="27"/>
    </row>
    <row r="26" spans="3:31">
      <c r="D26" s="24"/>
    </row>
    <row r="44" spans="30:30">
      <c r="AD44" s="2"/>
    </row>
    <row r="49" spans="31:31">
      <c r="AE49" s="2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8DF1-249B-4F57-85A8-C987E8218659}">
  <sheetPr codeName="List7"/>
  <dimension ref="B1:Q100"/>
  <sheetViews>
    <sheetView workbookViewId="0"/>
  </sheetViews>
  <sheetFormatPr defaultRowHeight="14.4"/>
  <cols>
    <col min="2" max="2" width="56.44140625" customWidth="1"/>
    <col min="4" max="4" width="38.5546875" customWidth="1"/>
    <col min="11" max="11" width="15.33203125" customWidth="1"/>
    <col min="12" max="12" width="18" customWidth="1"/>
    <col min="15" max="15" width="31.6640625" customWidth="1"/>
    <col min="16" max="16" width="14.109375" bestFit="1" customWidth="1"/>
    <col min="17" max="17" width="13.44140625" bestFit="1" customWidth="1"/>
  </cols>
  <sheetData>
    <row r="1" spans="2:17">
      <c r="D1">
        <f>Překlady!D1</f>
        <v>1</v>
      </c>
    </row>
    <row r="2" spans="2:17">
      <c r="C2" s="3" t="s">
        <v>133</v>
      </c>
      <c r="D2" s="3" t="s">
        <v>0</v>
      </c>
      <c r="E2" t="s">
        <v>1</v>
      </c>
      <c r="F2" t="s">
        <v>2</v>
      </c>
      <c r="G2" t="s">
        <v>3</v>
      </c>
      <c r="H2" t="s">
        <v>4</v>
      </c>
      <c r="I2" s="3" t="s">
        <v>326</v>
      </c>
      <c r="K2" t="s">
        <v>580</v>
      </c>
      <c r="L2" t="s">
        <v>572</v>
      </c>
      <c r="M2" t="s">
        <v>583</v>
      </c>
      <c r="N2" t="s">
        <v>584</v>
      </c>
      <c r="O2" s="6" t="s">
        <v>606</v>
      </c>
    </row>
    <row r="3" spans="2:17">
      <c r="B3" t="str">
        <f>IF($D$1=1,D:D,IF($D$1=2,E:E,IF($D$1=3,F:F,IF($D$1=4,G:G,IF($D$1&gt;4,H:H)))))</f>
        <v>K-StrongMax 18 89/300mm 40kg, tmavě šedá</v>
      </c>
      <c r="C3" s="3" t="s">
        <v>134</v>
      </c>
      <c r="D3" s="4" t="s">
        <v>38</v>
      </c>
      <c r="E3" s="3" t="s">
        <v>231</v>
      </c>
      <c r="F3" s="3" t="s">
        <v>327</v>
      </c>
      <c r="G3" s="3" t="s">
        <v>402</v>
      </c>
      <c r="H3" s="3" t="s">
        <v>477</v>
      </c>
      <c r="I3" s="3" t="s">
        <v>37</v>
      </c>
      <c r="K3">
        <v>89</v>
      </c>
      <c r="L3" t="str">
        <f>Překlady!$C$33</f>
        <v>tmavě šedá</v>
      </c>
      <c r="M3" t="s">
        <v>26</v>
      </c>
      <c r="N3">
        <v>300</v>
      </c>
      <c r="O3" s="5" t="str">
        <f>_xlfn.CONCAT(L3,"_sklo_",M3,"_",K3,"_",N3)</f>
        <v>tmavě šedá_sklo_ne_89_300</v>
      </c>
      <c r="P3" s="3" t="s">
        <v>134</v>
      </c>
      <c r="Q3" t="str">
        <f>B3</f>
        <v>K-StrongMax 18 89/300mm 40kg, tmavě šedá</v>
      </c>
    </row>
    <row r="4" spans="2:17">
      <c r="B4" t="str">
        <f t="shared" ref="B4:B67" si="0">IF($D$1=1,D:D,IF($D$1=2,E:E,IF($D$1=3,F:F,IF($D$1=4,G:G,IF($D$1&gt;4,H:H)))))</f>
        <v>K-StrongMax 18 89/350mm 40kg, tmavě šedá</v>
      </c>
      <c r="C4" s="3" t="s">
        <v>135</v>
      </c>
      <c r="D4" s="3" t="s">
        <v>39</v>
      </c>
      <c r="E4" s="3" t="s">
        <v>232</v>
      </c>
      <c r="F4" s="3" t="s">
        <v>328</v>
      </c>
      <c r="G4" s="3" t="s">
        <v>403</v>
      </c>
      <c r="H4" s="3" t="s">
        <v>478</v>
      </c>
      <c r="I4" s="3" t="s">
        <v>35</v>
      </c>
      <c r="K4">
        <v>89</v>
      </c>
      <c r="L4" t="str">
        <f>Překlady!$C$33</f>
        <v>tmavě šedá</v>
      </c>
      <c r="M4" t="s">
        <v>26</v>
      </c>
      <c r="N4">
        <v>350</v>
      </c>
      <c r="O4" s="5" t="str">
        <f t="shared" ref="O4:O67" si="1">_xlfn.CONCAT(L4,"_sklo_",M4,"_",K4,"_",N4)</f>
        <v>tmavě šedá_sklo_ne_89_350</v>
      </c>
      <c r="P4" s="3" t="s">
        <v>135</v>
      </c>
      <c r="Q4" t="str">
        <f t="shared" ref="Q4:Q67" si="2">B4</f>
        <v>K-StrongMax 18 89/350mm 40kg, tmavě šedá</v>
      </c>
    </row>
    <row r="5" spans="2:17">
      <c r="B5" t="str">
        <f t="shared" si="0"/>
        <v>K-StrongMax 18 89/400mm 40kg, tmavě šedá</v>
      </c>
      <c r="C5" s="3" t="s">
        <v>136</v>
      </c>
      <c r="D5" s="3" t="s">
        <v>40</v>
      </c>
      <c r="E5" s="3" t="s">
        <v>233</v>
      </c>
      <c r="F5" s="3" t="s">
        <v>329</v>
      </c>
      <c r="G5" s="3" t="s">
        <v>404</v>
      </c>
      <c r="H5" s="3" t="s">
        <v>479</v>
      </c>
      <c r="I5" s="3" t="s">
        <v>35</v>
      </c>
      <c r="K5">
        <v>89</v>
      </c>
      <c r="L5" t="str">
        <f>Překlady!$C$33</f>
        <v>tmavě šedá</v>
      </c>
      <c r="M5" t="s">
        <v>26</v>
      </c>
      <c r="N5">
        <v>400</v>
      </c>
      <c r="O5" s="5" t="str">
        <f t="shared" si="1"/>
        <v>tmavě šedá_sklo_ne_89_400</v>
      </c>
      <c r="P5" s="3" t="s">
        <v>136</v>
      </c>
      <c r="Q5" t="str">
        <f t="shared" si="2"/>
        <v>K-StrongMax 18 89/400mm 40kg, tmavě šedá</v>
      </c>
    </row>
    <row r="6" spans="2:17">
      <c r="B6" t="str">
        <f t="shared" si="0"/>
        <v>K-StrongMax 18 89/450mm 40kg, tmavě šedá</v>
      </c>
      <c r="C6" s="3" t="s">
        <v>137</v>
      </c>
      <c r="D6" s="3" t="s">
        <v>41</v>
      </c>
      <c r="E6" s="3" t="s">
        <v>234</v>
      </c>
      <c r="F6" s="3" t="s">
        <v>330</v>
      </c>
      <c r="G6" s="3" t="s">
        <v>405</v>
      </c>
      <c r="H6" s="3" t="s">
        <v>480</v>
      </c>
      <c r="I6" s="3" t="s">
        <v>35</v>
      </c>
      <c r="K6">
        <v>89</v>
      </c>
      <c r="L6" t="str">
        <f>Překlady!$C$33</f>
        <v>tmavě šedá</v>
      </c>
      <c r="M6" t="s">
        <v>26</v>
      </c>
      <c r="N6">
        <v>450</v>
      </c>
      <c r="O6" s="5" t="str">
        <f t="shared" si="1"/>
        <v>tmavě šedá_sklo_ne_89_450</v>
      </c>
      <c r="P6" s="3" t="s">
        <v>137</v>
      </c>
      <c r="Q6" t="str">
        <f t="shared" si="2"/>
        <v>K-StrongMax 18 89/450mm 40kg, tmavě šedá</v>
      </c>
    </row>
    <row r="7" spans="2:17">
      <c r="B7" t="str">
        <f t="shared" si="0"/>
        <v>K-StrongMax 18 89/500mm 40kg, tmavě šedá</v>
      </c>
      <c r="C7" s="3" t="s">
        <v>138</v>
      </c>
      <c r="D7" s="3" t="s">
        <v>42</v>
      </c>
      <c r="E7" s="3" t="s">
        <v>235</v>
      </c>
      <c r="F7" s="3" t="s">
        <v>331</v>
      </c>
      <c r="G7" s="3" t="s">
        <v>406</v>
      </c>
      <c r="H7" s="3" t="s">
        <v>481</v>
      </c>
      <c r="I7" s="3" t="s">
        <v>35</v>
      </c>
      <c r="K7">
        <v>89</v>
      </c>
      <c r="L7" t="str">
        <f>Překlady!$C$33</f>
        <v>tmavě šedá</v>
      </c>
      <c r="M7" t="s">
        <v>26</v>
      </c>
      <c r="N7">
        <v>500</v>
      </c>
      <c r="O7" s="5" t="str">
        <f t="shared" si="1"/>
        <v>tmavě šedá_sklo_ne_89_500</v>
      </c>
      <c r="P7" s="3" t="s">
        <v>138</v>
      </c>
      <c r="Q7" t="str">
        <f t="shared" si="2"/>
        <v>K-StrongMax 18 89/500mm 40kg, tmavě šedá</v>
      </c>
    </row>
    <row r="8" spans="2:17">
      <c r="B8" t="str">
        <f t="shared" si="0"/>
        <v>K-StrongMax 18 89/550mm 40kg, tmavě šedá</v>
      </c>
      <c r="C8" s="3" t="s">
        <v>139</v>
      </c>
      <c r="D8" s="3" t="s">
        <v>43</v>
      </c>
      <c r="E8" s="3" t="s">
        <v>236</v>
      </c>
      <c r="F8" s="3" t="s">
        <v>332</v>
      </c>
      <c r="G8" s="3" t="s">
        <v>407</v>
      </c>
      <c r="H8" s="3" t="s">
        <v>482</v>
      </c>
      <c r="I8" s="3" t="s">
        <v>35</v>
      </c>
      <c r="K8">
        <v>89</v>
      </c>
      <c r="L8" t="str">
        <f>Překlady!$C$33</f>
        <v>tmavě šedá</v>
      </c>
      <c r="M8" t="s">
        <v>26</v>
      </c>
      <c r="N8">
        <v>550</v>
      </c>
      <c r="O8" s="5" t="str">
        <f t="shared" si="1"/>
        <v>tmavě šedá_sklo_ne_89_550</v>
      </c>
      <c r="P8" s="3" t="s">
        <v>139</v>
      </c>
      <c r="Q8" t="str">
        <f t="shared" si="2"/>
        <v>K-StrongMax 18 89/550mm 40kg, tmavě šedá</v>
      </c>
    </row>
    <row r="9" spans="2:17">
      <c r="B9" t="str">
        <f t="shared" si="0"/>
        <v>K-StrongMax 18 89/600mm 40kg, tmavě šedá</v>
      </c>
      <c r="C9" s="3" t="s">
        <v>140</v>
      </c>
      <c r="D9" s="3" t="s">
        <v>44</v>
      </c>
      <c r="E9" s="3" t="s">
        <v>237</v>
      </c>
      <c r="F9" s="3" t="s">
        <v>333</v>
      </c>
      <c r="G9" s="3" t="s">
        <v>408</v>
      </c>
      <c r="H9" s="3" t="s">
        <v>483</v>
      </c>
      <c r="I9" s="3" t="s">
        <v>37</v>
      </c>
      <c r="K9">
        <v>89</v>
      </c>
      <c r="L9" t="str">
        <f>Překlady!$C$33</f>
        <v>tmavě šedá</v>
      </c>
      <c r="M9" t="s">
        <v>26</v>
      </c>
      <c r="N9">
        <v>600</v>
      </c>
      <c r="O9" s="5" t="str">
        <f t="shared" si="1"/>
        <v>tmavě šedá_sklo_ne_89_600</v>
      </c>
      <c r="P9" s="3" t="s">
        <v>140</v>
      </c>
      <c r="Q9" t="str">
        <f t="shared" si="2"/>
        <v>K-StrongMax 18 89/600mm 40kg, tmavě šedá</v>
      </c>
    </row>
    <row r="10" spans="2:17">
      <c r="B10" t="str">
        <f t="shared" si="0"/>
        <v>K-StrongMax 18 89/650mm 40kg, tmavě šedá</v>
      </c>
      <c r="C10" s="3" t="s">
        <v>141</v>
      </c>
      <c r="D10" s="3" t="s">
        <v>45</v>
      </c>
      <c r="E10" s="3" t="s">
        <v>238</v>
      </c>
      <c r="F10" s="3" t="s">
        <v>334</v>
      </c>
      <c r="G10" s="3" t="s">
        <v>409</v>
      </c>
      <c r="H10" s="3" t="s">
        <v>484</v>
      </c>
      <c r="I10" s="3" t="s">
        <v>37</v>
      </c>
      <c r="K10">
        <v>89</v>
      </c>
      <c r="L10" t="str">
        <f>Překlady!$C$33</f>
        <v>tmavě šedá</v>
      </c>
      <c r="M10" t="s">
        <v>26</v>
      </c>
      <c r="N10">
        <v>650</v>
      </c>
      <c r="O10" s="5" t="str">
        <f t="shared" si="1"/>
        <v>tmavě šedá_sklo_ne_89_650</v>
      </c>
      <c r="P10" s="3" t="s">
        <v>141</v>
      </c>
      <c r="Q10" t="str">
        <f t="shared" si="2"/>
        <v>K-StrongMax 18 89/650mm 40kg, tmavě šedá</v>
      </c>
    </row>
    <row r="11" spans="2:17">
      <c r="B11" t="str">
        <f t="shared" si="0"/>
        <v>K-StrongMax 18 121/300mm 40kg, tmavě šedá</v>
      </c>
      <c r="C11" s="3" t="s">
        <v>142</v>
      </c>
      <c r="D11" s="3" t="s">
        <v>46</v>
      </c>
      <c r="E11" s="3" t="s">
        <v>239</v>
      </c>
      <c r="F11" s="3" t="s">
        <v>335</v>
      </c>
      <c r="G11" s="3" t="s">
        <v>410</v>
      </c>
      <c r="H11" s="3" t="s">
        <v>485</v>
      </c>
      <c r="I11" s="3" t="s">
        <v>35</v>
      </c>
      <c r="K11">
        <v>121</v>
      </c>
      <c r="L11" t="str">
        <f>Překlady!$C$33</f>
        <v>tmavě šedá</v>
      </c>
      <c r="M11" t="s">
        <v>26</v>
      </c>
      <c r="N11">
        <v>300</v>
      </c>
      <c r="O11" s="5" t="str">
        <f t="shared" si="1"/>
        <v>tmavě šedá_sklo_ne_121_300</v>
      </c>
      <c r="P11" s="3" t="s">
        <v>142</v>
      </c>
      <c r="Q11" t="str">
        <f t="shared" si="2"/>
        <v>K-StrongMax 18 121/300mm 40kg, tmavě šedá</v>
      </c>
    </row>
    <row r="12" spans="2:17">
      <c r="B12" t="str">
        <f t="shared" si="0"/>
        <v>K-StrongMax 18 121/350mm 40kg, tmavě šedá</v>
      </c>
      <c r="C12" s="3" t="s">
        <v>143</v>
      </c>
      <c r="D12" s="3" t="s">
        <v>47</v>
      </c>
      <c r="E12" s="3" t="s">
        <v>240</v>
      </c>
      <c r="F12" s="3" t="s">
        <v>336</v>
      </c>
      <c r="G12" s="3" t="s">
        <v>411</v>
      </c>
      <c r="H12" s="3" t="s">
        <v>486</v>
      </c>
      <c r="I12" s="3" t="s">
        <v>35</v>
      </c>
      <c r="K12">
        <v>121</v>
      </c>
      <c r="L12" t="str">
        <f>Překlady!$C$33</f>
        <v>tmavě šedá</v>
      </c>
      <c r="M12" t="s">
        <v>26</v>
      </c>
      <c r="N12">
        <v>350</v>
      </c>
      <c r="O12" s="5" t="str">
        <f t="shared" si="1"/>
        <v>tmavě šedá_sklo_ne_121_350</v>
      </c>
      <c r="P12" s="3" t="s">
        <v>143</v>
      </c>
      <c r="Q12" t="str">
        <f t="shared" si="2"/>
        <v>K-StrongMax 18 121/350mm 40kg, tmavě šedá</v>
      </c>
    </row>
    <row r="13" spans="2:17">
      <c r="B13" t="str">
        <f t="shared" si="0"/>
        <v>K-StrongMax 18 121/400mm 40kg, tmavě šedá</v>
      </c>
      <c r="C13" s="3" t="s">
        <v>144</v>
      </c>
      <c r="D13" s="3" t="s">
        <v>48</v>
      </c>
      <c r="E13" s="3" t="s">
        <v>241</v>
      </c>
      <c r="F13" s="3" t="s">
        <v>337</v>
      </c>
      <c r="G13" s="3" t="s">
        <v>412</v>
      </c>
      <c r="H13" s="3" t="s">
        <v>487</v>
      </c>
      <c r="I13" s="3" t="s">
        <v>35</v>
      </c>
      <c r="K13">
        <v>121</v>
      </c>
      <c r="L13" t="str">
        <f>Překlady!$C$33</f>
        <v>tmavě šedá</v>
      </c>
      <c r="M13" t="s">
        <v>26</v>
      </c>
      <c r="N13">
        <v>400</v>
      </c>
      <c r="O13" s="5" t="str">
        <f t="shared" si="1"/>
        <v>tmavě šedá_sklo_ne_121_400</v>
      </c>
      <c r="P13" s="3" t="s">
        <v>144</v>
      </c>
      <c r="Q13" t="str">
        <f t="shared" si="2"/>
        <v>K-StrongMax 18 121/400mm 40kg, tmavě šedá</v>
      </c>
    </row>
    <row r="14" spans="2:17">
      <c r="B14" t="str">
        <f t="shared" si="0"/>
        <v>K-StrongMax 18 121/450mm 40kg, tmavě šedá</v>
      </c>
      <c r="C14" s="3" t="s">
        <v>145</v>
      </c>
      <c r="D14" s="3" t="s">
        <v>49</v>
      </c>
      <c r="E14" s="3" t="s">
        <v>242</v>
      </c>
      <c r="F14" s="3" t="s">
        <v>338</v>
      </c>
      <c r="G14" s="3" t="s">
        <v>413</v>
      </c>
      <c r="H14" s="3" t="s">
        <v>488</v>
      </c>
      <c r="I14" s="3" t="s">
        <v>37</v>
      </c>
      <c r="K14">
        <v>121</v>
      </c>
      <c r="L14" t="str">
        <f>Překlady!$C$33</f>
        <v>tmavě šedá</v>
      </c>
      <c r="M14" t="s">
        <v>26</v>
      </c>
      <c r="N14">
        <v>450</v>
      </c>
      <c r="O14" s="5" t="str">
        <f t="shared" si="1"/>
        <v>tmavě šedá_sklo_ne_121_450</v>
      </c>
      <c r="P14" s="3" t="s">
        <v>145</v>
      </c>
      <c r="Q14" t="str">
        <f t="shared" si="2"/>
        <v>K-StrongMax 18 121/450mm 40kg, tmavě šedá</v>
      </c>
    </row>
    <row r="15" spans="2:17">
      <c r="B15" t="str">
        <f t="shared" si="0"/>
        <v>K-StrongMax 18 121/500mm 40kg, tmavě šedá</v>
      </c>
      <c r="C15" s="3" t="s">
        <v>146</v>
      </c>
      <c r="D15" s="3" t="s">
        <v>50</v>
      </c>
      <c r="E15" s="3" t="s">
        <v>243</v>
      </c>
      <c r="F15" s="3" t="s">
        <v>339</v>
      </c>
      <c r="G15" s="3" t="s">
        <v>414</v>
      </c>
      <c r="H15" s="3" t="s">
        <v>489</v>
      </c>
      <c r="I15" s="3" t="s">
        <v>35</v>
      </c>
      <c r="K15">
        <v>121</v>
      </c>
      <c r="L15" t="str">
        <f>Překlady!$C$33</f>
        <v>tmavě šedá</v>
      </c>
      <c r="M15" t="s">
        <v>26</v>
      </c>
      <c r="N15">
        <v>500</v>
      </c>
      <c r="O15" s="5" t="str">
        <f t="shared" si="1"/>
        <v>tmavě šedá_sklo_ne_121_500</v>
      </c>
      <c r="P15" s="3" t="s">
        <v>146</v>
      </c>
      <c r="Q15" t="str">
        <f t="shared" si="2"/>
        <v>K-StrongMax 18 121/500mm 40kg, tmavě šedá</v>
      </c>
    </row>
    <row r="16" spans="2:17">
      <c r="B16" t="str">
        <f t="shared" si="0"/>
        <v>K-StrongMax 18 121/550mm 40kg, tmavě šedá</v>
      </c>
      <c r="C16" s="3" t="s">
        <v>147</v>
      </c>
      <c r="D16" s="3" t="s">
        <v>51</v>
      </c>
      <c r="E16" s="3" t="s">
        <v>244</v>
      </c>
      <c r="F16" s="3" t="s">
        <v>340</v>
      </c>
      <c r="G16" s="3" t="s">
        <v>415</v>
      </c>
      <c r="H16" s="3" t="s">
        <v>490</v>
      </c>
      <c r="I16" s="3" t="s">
        <v>35</v>
      </c>
      <c r="K16">
        <v>121</v>
      </c>
      <c r="L16" t="str">
        <f>Překlady!$C$33</f>
        <v>tmavě šedá</v>
      </c>
      <c r="M16" t="s">
        <v>26</v>
      </c>
      <c r="N16">
        <v>550</v>
      </c>
      <c r="O16" s="5" t="str">
        <f t="shared" si="1"/>
        <v>tmavě šedá_sklo_ne_121_550</v>
      </c>
      <c r="P16" s="3" t="s">
        <v>147</v>
      </c>
      <c r="Q16" t="str">
        <f t="shared" si="2"/>
        <v>K-StrongMax 18 121/550mm 40kg, tmavě šedá</v>
      </c>
    </row>
    <row r="17" spans="2:17">
      <c r="B17" t="str">
        <f t="shared" si="0"/>
        <v>K-StrongMax 18 121/600mm 40kg, tmavě šedá</v>
      </c>
      <c r="C17" s="3" t="s">
        <v>148</v>
      </c>
      <c r="D17" s="3" t="s">
        <v>52</v>
      </c>
      <c r="E17" s="3" t="s">
        <v>245</v>
      </c>
      <c r="F17" s="3" t="s">
        <v>341</v>
      </c>
      <c r="G17" s="3" t="s">
        <v>416</v>
      </c>
      <c r="H17" s="3" t="s">
        <v>491</v>
      </c>
      <c r="I17" s="3" t="s">
        <v>35</v>
      </c>
      <c r="K17">
        <v>121</v>
      </c>
      <c r="L17" t="str">
        <f>Překlady!$C$33</f>
        <v>tmavě šedá</v>
      </c>
      <c r="M17" t="s">
        <v>26</v>
      </c>
      <c r="N17">
        <v>600</v>
      </c>
      <c r="O17" s="5" t="str">
        <f t="shared" si="1"/>
        <v>tmavě šedá_sklo_ne_121_600</v>
      </c>
      <c r="P17" s="3" t="s">
        <v>148</v>
      </c>
      <c r="Q17" t="str">
        <f t="shared" si="2"/>
        <v>K-StrongMax 18 121/600mm 40kg, tmavě šedá</v>
      </c>
    </row>
    <row r="18" spans="2:17">
      <c r="B18" t="str">
        <f t="shared" si="0"/>
        <v>K-StrongMax 18 121/650mm 40kg, tmavě šedá</v>
      </c>
      <c r="C18" s="3" t="s">
        <v>149</v>
      </c>
      <c r="D18" s="3" t="s">
        <v>53</v>
      </c>
      <c r="E18" s="3" t="s">
        <v>246</v>
      </c>
      <c r="F18" s="3" t="s">
        <v>342</v>
      </c>
      <c r="G18" s="3" t="s">
        <v>417</v>
      </c>
      <c r="H18" s="3" t="s">
        <v>492</v>
      </c>
      <c r="I18" s="3" t="s">
        <v>37</v>
      </c>
      <c r="K18">
        <v>121</v>
      </c>
      <c r="L18" t="str">
        <f>Překlady!$C$33</f>
        <v>tmavě šedá</v>
      </c>
      <c r="M18" t="s">
        <v>26</v>
      </c>
      <c r="N18">
        <v>650</v>
      </c>
      <c r="O18" s="5" t="str">
        <f t="shared" si="1"/>
        <v>tmavě šedá_sklo_ne_121_650</v>
      </c>
      <c r="P18" s="3" t="s">
        <v>149</v>
      </c>
      <c r="Q18" t="str">
        <f t="shared" si="2"/>
        <v>K-StrongMax 18 121/650mm 40kg, tmavě šedá</v>
      </c>
    </row>
    <row r="19" spans="2:17">
      <c r="B19" t="str">
        <f t="shared" si="0"/>
        <v>K-StrongMax 18 185/300mm 40kg, tmavě šedá</v>
      </c>
      <c r="C19" s="3" t="s">
        <v>150</v>
      </c>
      <c r="D19" s="3" t="s">
        <v>54</v>
      </c>
      <c r="E19" s="3" t="s">
        <v>247</v>
      </c>
      <c r="F19" s="3" t="s">
        <v>343</v>
      </c>
      <c r="G19" s="3" t="s">
        <v>418</v>
      </c>
      <c r="H19" s="3" t="s">
        <v>493</v>
      </c>
      <c r="I19" s="3" t="s">
        <v>35</v>
      </c>
      <c r="K19">
        <v>185</v>
      </c>
      <c r="L19" t="str">
        <f>Překlady!$C$33</f>
        <v>tmavě šedá</v>
      </c>
      <c r="M19" t="s">
        <v>26</v>
      </c>
      <c r="N19">
        <v>300</v>
      </c>
      <c r="O19" s="5" t="str">
        <f t="shared" si="1"/>
        <v>tmavě šedá_sklo_ne_185_300</v>
      </c>
      <c r="P19" s="3" t="s">
        <v>150</v>
      </c>
      <c r="Q19" t="str">
        <f t="shared" si="2"/>
        <v>K-StrongMax 18 185/300mm 40kg, tmavě šedá</v>
      </c>
    </row>
    <row r="20" spans="2:17">
      <c r="B20" t="str">
        <f t="shared" si="0"/>
        <v>K-StrongMax 18 185/350mm 40kg, tmavě šedá</v>
      </c>
      <c r="C20" s="3" t="s">
        <v>151</v>
      </c>
      <c r="D20" s="3" t="s">
        <v>55</v>
      </c>
      <c r="E20" s="3" t="s">
        <v>248</v>
      </c>
      <c r="F20" s="3" t="s">
        <v>344</v>
      </c>
      <c r="G20" s="3" t="s">
        <v>419</v>
      </c>
      <c r="H20" s="3" t="s">
        <v>494</v>
      </c>
      <c r="I20" s="3" t="s">
        <v>35</v>
      </c>
      <c r="K20">
        <v>185</v>
      </c>
      <c r="L20" t="str">
        <f>Překlady!$C$33</f>
        <v>tmavě šedá</v>
      </c>
      <c r="M20" t="s">
        <v>26</v>
      </c>
      <c r="N20">
        <v>350</v>
      </c>
      <c r="O20" s="5" t="str">
        <f t="shared" si="1"/>
        <v>tmavě šedá_sklo_ne_185_350</v>
      </c>
      <c r="P20" s="3" t="s">
        <v>151</v>
      </c>
      <c r="Q20" t="str">
        <f t="shared" si="2"/>
        <v>K-StrongMax 18 185/350mm 40kg, tmavě šedá</v>
      </c>
    </row>
    <row r="21" spans="2:17">
      <c r="B21" t="str">
        <f t="shared" si="0"/>
        <v>K-StrongMax 18 185/400mm 40kg, tmavě šedá</v>
      </c>
      <c r="C21" s="3" t="s">
        <v>152</v>
      </c>
      <c r="D21" s="3" t="s">
        <v>56</v>
      </c>
      <c r="E21" s="3" t="s">
        <v>249</v>
      </c>
      <c r="F21" s="3" t="s">
        <v>345</v>
      </c>
      <c r="G21" s="3" t="s">
        <v>420</v>
      </c>
      <c r="H21" s="3" t="s">
        <v>495</v>
      </c>
      <c r="I21" s="3" t="s">
        <v>35</v>
      </c>
      <c r="K21">
        <v>185</v>
      </c>
      <c r="L21" t="str">
        <f>Překlady!$C$33</f>
        <v>tmavě šedá</v>
      </c>
      <c r="M21" t="s">
        <v>26</v>
      </c>
      <c r="N21">
        <v>400</v>
      </c>
      <c r="O21" s="5" t="str">
        <f t="shared" si="1"/>
        <v>tmavě šedá_sklo_ne_185_400</v>
      </c>
      <c r="P21" s="3" t="s">
        <v>152</v>
      </c>
      <c r="Q21" t="str">
        <f t="shared" si="2"/>
        <v>K-StrongMax 18 185/400mm 40kg, tmavě šedá</v>
      </c>
    </row>
    <row r="22" spans="2:17">
      <c r="B22" t="str">
        <f t="shared" si="0"/>
        <v>K-StrongMax 18 185/450mm 40kg, tmavě šedá</v>
      </c>
      <c r="C22" s="3" t="s">
        <v>153</v>
      </c>
      <c r="D22" s="3" t="s">
        <v>57</v>
      </c>
      <c r="E22" s="3" t="s">
        <v>250</v>
      </c>
      <c r="F22" s="3" t="s">
        <v>346</v>
      </c>
      <c r="G22" s="3" t="s">
        <v>421</v>
      </c>
      <c r="H22" s="3" t="s">
        <v>496</v>
      </c>
      <c r="I22" s="3" t="s">
        <v>35</v>
      </c>
      <c r="K22">
        <v>185</v>
      </c>
      <c r="L22" t="str">
        <f>Překlady!$C$33</f>
        <v>tmavě šedá</v>
      </c>
      <c r="M22" t="s">
        <v>26</v>
      </c>
      <c r="N22">
        <v>450</v>
      </c>
      <c r="O22" s="5" t="str">
        <f t="shared" si="1"/>
        <v>tmavě šedá_sklo_ne_185_450</v>
      </c>
      <c r="P22" s="3" t="s">
        <v>153</v>
      </c>
      <c r="Q22" t="str">
        <f t="shared" si="2"/>
        <v>K-StrongMax 18 185/450mm 40kg, tmavě šedá</v>
      </c>
    </row>
    <row r="23" spans="2:17">
      <c r="B23" t="str">
        <f t="shared" si="0"/>
        <v>K-StrongMax 18 185/500mm 40kg, tmavě šedá</v>
      </c>
      <c r="C23" s="3" t="s">
        <v>154</v>
      </c>
      <c r="D23" s="3" t="s">
        <v>58</v>
      </c>
      <c r="E23" s="3" t="s">
        <v>251</v>
      </c>
      <c r="F23" s="3" t="s">
        <v>347</v>
      </c>
      <c r="G23" s="3" t="s">
        <v>422</v>
      </c>
      <c r="H23" s="3" t="s">
        <v>497</v>
      </c>
      <c r="I23" s="3" t="s">
        <v>35</v>
      </c>
      <c r="K23">
        <v>185</v>
      </c>
      <c r="L23" t="str">
        <f>Překlady!$C$33</f>
        <v>tmavě šedá</v>
      </c>
      <c r="M23" t="s">
        <v>26</v>
      </c>
      <c r="N23">
        <v>500</v>
      </c>
      <c r="O23" s="5" t="str">
        <f t="shared" si="1"/>
        <v>tmavě šedá_sklo_ne_185_500</v>
      </c>
      <c r="P23" s="3" t="s">
        <v>154</v>
      </c>
      <c r="Q23" t="str">
        <f t="shared" si="2"/>
        <v>K-StrongMax 18 185/500mm 40kg, tmavě šedá</v>
      </c>
    </row>
    <row r="24" spans="2:17">
      <c r="B24" t="str">
        <f t="shared" si="0"/>
        <v>K-StrongMax 18 185/550mm 40kg, tmavě šedá</v>
      </c>
      <c r="C24" s="3" t="s">
        <v>155</v>
      </c>
      <c r="D24" s="3" t="s">
        <v>59</v>
      </c>
      <c r="E24" s="3" t="s">
        <v>252</v>
      </c>
      <c r="F24" s="3" t="s">
        <v>348</v>
      </c>
      <c r="G24" s="3" t="s">
        <v>423</v>
      </c>
      <c r="H24" s="3" t="s">
        <v>498</v>
      </c>
      <c r="I24" s="3" t="s">
        <v>35</v>
      </c>
      <c r="K24">
        <v>185</v>
      </c>
      <c r="L24" t="str">
        <f>Překlady!$C$33</f>
        <v>tmavě šedá</v>
      </c>
      <c r="M24" t="s">
        <v>26</v>
      </c>
      <c r="N24">
        <v>550</v>
      </c>
      <c r="O24" s="5" t="str">
        <f t="shared" si="1"/>
        <v>tmavě šedá_sklo_ne_185_550</v>
      </c>
      <c r="P24" s="3" t="s">
        <v>155</v>
      </c>
      <c r="Q24" t="str">
        <f t="shared" si="2"/>
        <v>K-StrongMax 18 185/550mm 40kg, tmavě šedá</v>
      </c>
    </row>
    <row r="25" spans="2:17">
      <c r="B25" t="str">
        <f t="shared" si="0"/>
        <v>K-StrongMax 18 185/600mm 40kg, tmavě šedá</v>
      </c>
      <c r="C25" s="3" t="s">
        <v>156</v>
      </c>
      <c r="D25" s="3" t="s">
        <v>60</v>
      </c>
      <c r="E25" s="3" t="s">
        <v>253</v>
      </c>
      <c r="F25" s="3" t="s">
        <v>349</v>
      </c>
      <c r="G25" s="3" t="s">
        <v>424</v>
      </c>
      <c r="H25" s="3" t="s">
        <v>499</v>
      </c>
      <c r="I25" s="3" t="s">
        <v>35</v>
      </c>
      <c r="K25">
        <v>185</v>
      </c>
      <c r="L25" t="str">
        <f>Překlady!$C$33</f>
        <v>tmavě šedá</v>
      </c>
      <c r="M25" t="s">
        <v>26</v>
      </c>
      <c r="N25">
        <v>600</v>
      </c>
      <c r="O25" s="5" t="str">
        <f t="shared" si="1"/>
        <v>tmavě šedá_sklo_ne_185_600</v>
      </c>
      <c r="P25" s="3" t="s">
        <v>156</v>
      </c>
      <c r="Q25" t="str">
        <f t="shared" si="2"/>
        <v>K-StrongMax 18 185/600mm 40kg, tmavě šedá</v>
      </c>
    </row>
    <row r="26" spans="2:17">
      <c r="B26" t="str">
        <f t="shared" si="0"/>
        <v>K-StrongMax 18 185/650mm 40kg, tmavě šedá</v>
      </c>
      <c r="C26" s="3" t="s">
        <v>157</v>
      </c>
      <c r="D26" s="3" t="s">
        <v>61</v>
      </c>
      <c r="E26" s="3" t="s">
        <v>254</v>
      </c>
      <c r="F26" s="3" t="s">
        <v>350</v>
      </c>
      <c r="G26" s="3" t="s">
        <v>425</v>
      </c>
      <c r="H26" s="3" t="s">
        <v>500</v>
      </c>
      <c r="I26" s="3" t="s">
        <v>37</v>
      </c>
      <c r="K26">
        <v>185</v>
      </c>
      <c r="L26" t="str">
        <f>Překlady!$C$33</f>
        <v>tmavě šedá</v>
      </c>
      <c r="M26" t="s">
        <v>26</v>
      </c>
      <c r="N26">
        <v>650</v>
      </c>
      <c r="O26" s="5" t="str">
        <f t="shared" si="1"/>
        <v>tmavě šedá_sklo_ne_185_650</v>
      </c>
      <c r="P26" s="3" t="s">
        <v>157</v>
      </c>
      <c r="Q26" t="str">
        <f t="shared" si="2"/>
        <v>K-StrongMax 18 185/650mm 40kg, tmavě šedá</v>
      </c>
    </row>
    <row r="27" spans="2:17">
      <c r="B27" t="str">
        <f t="shared" si="0"/>
        <v>K-StrongMax 18 249/450mm 40kg, tmavě šedá</v>
      </c>
      <c r="C27" s="3" t="s">
        <v>158</v>
      </c>
      <c r="D27" s="3" t="s">
        <v>62</v>
      </c>
      <c r="E27" s="3" t="s">
        <v>255</v>
      </c>
      <c r="F27" s="3" t="s">
        <v>351</v>
      </c>
      <c r="G27" s="3" t="s">
        <v>426</v>
      </c>
      <c r="H27" s="3" t="s">
        <v>501</v>
      </c>
      <c r="I27" s="3" t="s">
        <v>37</v>
      </c>
      <c r="K27">
        <v>249</v>
      </c>
      <c r="L27" t="str">
        <f>Překlady!$C$33</f>
        <v>tmavě šedá</v>
      </c>
      <c r="M27" t="s">
        <v>26</v>
      </c>
      <c r="N27">
        <v>450</v>
      </c>
      <c r="O27" s="5" t="str">
        <f t="shared" si="1"/>
        <v>tmavě šedá_sklo_ne_249_450</v>
      </c>
      <c r="P27" s="3" t="s">
        <v>158</v>
      </c>
      <c r="Q27" t="str">
        <f t="shared" si="2"/>
        <v>K-StrongMax 18 249/450mm 40kg, tmavě šedá</v>
      </c>
    </row>
    <row r="28" spans="2:17">
      <c r="B28" t="str">
        <f t="shared" si="0"/>
        <v>K-StrongMax 18 249/500mm 40kg, tmavě šedá</v>
      </c>
      <c r="C28" s="3" t="s">
        <v>159</v>
      </c>
      <c r="D28" s="3" t="s">
        <v>63</v>
      </c>
      <c r="E28" s="3" t="s">
        <v>256</v>
      </c>
      <c r="F28" s="3" t="s">
        <v>352</v>
      </c>
      <c r="G28" s="3" t="s">
        <v>427</v>
      </c>
      <c r="H28" s="3" t="s">
        <v>502</v>
      </c>
      <c r="I28" s="3" t="s">
        <v>35</v>
      </c>
      <c r="K28">
        <v>249</v>
      </c>
      <c r="L28" t="str">
        <f>Překlady!$C$33</f>
        <v>tmavě šedá</v>
      </c>
      <c r="M28" t="s">
        <v>26</v>
      </c>
      <c r="N28">
        <v>500</v>
      </c>
      <c r="O28" s="5" t="str">
        <f t="shared" si="1"/>
        <v>tmavě šedá_sklo_ne_249_500</v>
      </c>
      <c r="P28" s="3" t="s">
        <v>159</v>
      </c>
      <c r="Q28" t="str">
        <f t="shared" si="2"/>
        <v>K-StrongMax 18 249/500mm 40kg, tmavě šedá</v>
      </c>
    </row>
    <row r="29" spans="2:17">
      <c r="B29" t="str">
        <f t="shared" si="0"/>
        <v>K-StrongMax 18 249/550mm 40kg, tmavě šedá</v>
      </c>
      <c r="C29" s="3" t="s">
        <v>160</v>
      </c>
      <c r="D29" s="3" t="s">
        <v>64</v>
      </c>
      <c r="E29" s="3" t="s">
        <v>257</v>
      </c>
      <c r="F29" s="3" t="s">
        <v>353</v>
      </c>
      <c r="G29" s="3" t="s">
        <v>428</v>
      </c>
      <c r="H29" s="3" t="s">
        <v>503</v>
      </c>
      <c r="I29" s="3" t="s">
        <v>37</v>
      </c>
      <c r="K29">
        <v>249</v>
      </c>
      <c r="L29" t="str">
        <f>Překlady!$C$33</f>
        <v>tmavě šedá</v>
      </c>
      <c r="M29" t="s">
        <v>26</v>
      </c>
      <c r="N29">
        <v>550</v>
      </c>
      <c r="O29" s="5" t="str">
        <f t="shared" si="1"/>
        <v>tmavě šedá_sklo_ne_249_550</v>
      </c>
      <c r="P29" s="3" t="s">
        <v>160</v>
      </c>
      <c r="Q29" t="str">
        <f t="shared" si="2"/>
        <v>K-StrongMax 18 249/550mm 40kg, tmavě šedá</v>
      </c>
    </row>
    <row r="30" spans="2:17">
      <c r="B30" t="str">
        <f t="shared" si="0"/>
        <v>K-StrongMax 18 249/600mm 40kg, tmavě šedá</v>
      </c>
      <c r="C30" s="3" t="s">
        <v>161</v>
      </c>
      <c r="D30" s="3" t="s">
        <v>65</v>
      </c>
      <c r="E30" s="3" t="s">
        <v>258</v>
      </c>
      <c r="F30" s="3" t="s">
        <v>354</v>
      </c>
      <c r="G30" s="3" t="s">
        <v>429</v>
      </c>
      <c r="H30" s="3" t="s">
        <v>504</v>
      </c>
      <c r="I30" s="3" t="s">
        <v>37</v>
      </c>
      <c r="K30">
        <v>249</v>
      </c>
      <c r="L30" t="str">
        <f>Překlady!$C$33</f>
        <v>tmavě šedá</v>
      </c>
      <c r="M30" t="s">
        <v>26</v>
      </c>
      <c r="N30">
        <v>600</v>
      </c>
      <c r="O30" s="5" t="str">
        <f t="shared" si="1"/>
        <v>tmavě šedá_sklo_ne_249_600</v>
      </c>
      <c r="P30" s="3" t="s">
        <v>161</v>
      </c>
      <c r="Q30" t="str">
        <f t="shared" si="2"/>
        <v>K-StrongMax 18 249/600mm 40kg, tmavě šedá</v>
      </c>
    </row>
    <row r="31" spans="2:17">
      <c r="B31" t="str">
        <f t="shared" si="0"/>
        <v>K-StrongMax 18 249/650mm 40kg, tmavě šedá</v>
      </c>
      <c r="C31" s="3" t="s">
        <v>162</v>
      </c>
      <c r="D31" s="3" t="s">
        <v>66</v>
      </c>
      <c r="E31" s="3" t="s">
        <v>259</v>
      </c>
      <c r="F31" s="3" t="s">
        <v>355</v>
      </c>
      <c r="G31" s="3" t="s">
        <v>430</v>
      </c>
      <c r="H31" s="3" t="s">
        <v>505</v>
      </c>
      <c r="I31" s="3" t="s">
        <v>37</v>
      </c>
      <c r="K31">
        <v>249</v>
      </c>
      <c r="L31" t="str">
        <f>Překlady!$C$33</f>
        <v>tmavě šedá</v>
      </c>
      <c r="M31" t="s">
        <v>26</v>
      </c>
      <c r="N31">
        <v>650</v>
      </c>
      <c r="O31" s="5" t="str">
        <f t="shared" si="1"/>
        <v>tmavě šedá_sklo_ne_249_650</v>
      </c>
      <c r="P31" s="3" t="s">
        <v>162</v>
      </c>
      <c r="Q31" t="str">
        <f t="shared" si="2"/>
        <v>K-StrongMax 18 249/650mm 40kg, tmavě šedá</v>
      </c>
    </row>
    <row r="32" spans="2:17">
      <c r="B32" t="str">
        <f t="shared" si="0"/>
        <v>K-StrongMax 18 185/450mm 40kg, prosklené bočnice, tmavě šedá</v>
      </c>
      <c r="C32" s="3" t="s">
        <v>163</v>
      </c>
      <c r="D32" s="3" t="s">
        <v>67</v>
      </c>
      <c r="E32" s="3" t="s">
        <v>260</v>
      </c>
      <c r="F32" s="3" t="s">
        <v>356</v>
      </c>
      <c r="G32" s="3" t="s">
        <v>431</v>
      </c>
      <c r="H32" s="3" t="s">
        <v>506</v>
      </c>
      <c r="I32" s="3" t="s">
        <v>37</v>
      </c>
      <c r="K32">
        <v>185</v>
      </c>
      <c r="L32" t="str">
        <f>Překlady!$C$33</f>
        <v>tmavě šedá</v>
      </c>
      <c r="M32" t="s">
        <v>24</v>
      </c>
      <c r="N32">
        <v>450</v>
      </c>
      <c r="O32" s="5" t="str">
        <f t="shared" si="1"/>
        <v>tmavě šedá_sklo_ano_185_450</v>
      </c>
      <c r="P32" s="3" t="s">
        <v>163</v>
      </c>
      <c r="Q32" t="str">
        <f t="shared" si="2"/>
        <v>K-StrongMax 18 185/450mm 40kg, prosklené bočnice, tmavě šedá</v>
      </c>
    </row>
    <row r="33" spans="2:17">
      <c r="B33" t="str">
        <f t="shared" si="0"/>
        <v>K-StrongMax 18 185/500mm 40kg, prosklené bočnice, tmavě šedá</v>
      </c>
      <c r="C33" s="3" t="s">
        <v>164</v>
      </c>
      <c r="D33" s="3" t="s">
        <v>68</v>
      </c>
      <c r="E33" s="3" t="s">
        <v>261</v>
      </c>
      <c r="F33" s="3" t="s">
        <v>357</v>
      </c>
      <c r="G33" s="3" t="s">
        <v>432</v>
      </c>
      <c r="H33" s="3" t="s">
        <v>507</v>
      </c>
      <c r="I33" s="3" t="s">
        <v>37</v>
      </c>
      <c r="K33">
        <v>185</v>
      </c>
      <c r="L33" t="str">
        <f>Překlady!$C$33</f>
        <v>tmavě šedá</v>
      </c>
      <c r="M33" t="s">
        <v>24</v>
      </c>
      <c r="N33">
        <v>500</v>
      </c>
      <c r="O33" s="5" t="str">
        <f t="shared" si="1"/>
        <v>tmavě šedá_sklo_ano_185_500</v>
      </c>
      <c r="P33" s="3" t="s">
        <v>164</v>
      </c>
      <c r="Q33" t="str">
        <f t="shared" si="2"/>
        <v>K-StrongMax 18 185/500mm 40kg, prosklené bočnice, tmavě šedá</v>
      </c>
    </row>
    <row r="34" spans="2:17">
      <c r="B34" t="str">
        <f t="shared" si="0"/>
        <v>K-StrongMax 18 185/550mm 40kg, prosklené bočnice, tmavě šedá</v>
      </c>
      <c r="C34" s="3" t="s">
        <v>165</v>
      </c>
      <c r="D34" s="3" t="s">
        <v>69</v>
      </c>
      <c r="E34" s="3" t="s">
        <v>262</v>
      </c>
      <c r="F34" s="3" t="s">
        <v>358</v>
      </c>
      <c r="G34" s="3" t="s">
        <v>433</v>
      </c>
      <c r="H34" s="3" t="s">
        <v>508</v>
      </c>
      <c r="I34" s="3" t="s">
        <v>37</v>
      </c>
      <c r="K34">
        <v>185</v>
      </c>
      <c r="L34" t="str">
        <f>Překlady!$C$33</f>
        <v>tmavě šedá</v>
      </c>
      <c r="M34" t="s">
        <v>24</v>
      </c>
      <c r="N34">
        <v>550</v>
      </c>
      <c r="O34" s="5" t="str">
        <f t="shared" si="1"/>
        <v>tmavě šedá_sklo_ano_185_550</v>
      </c>
      <c r="P34" s="3" t="s">
        <v>165</v>
      </c>
      <c r="Q34" t="str">
        <f t="shared" si="2"/>
        <v>K-StrongMax 18 185/550mm 40kg, prosklené bočnice, tmavě šedá</v>
      </c>
    </row>
    <row r="35" spans="2:17">
      <c r="B35" t="str">
        <f t="shared" si="0"/>
        <v>K-StrongMax 18 89/300mm 40kg, bílá</v>
      </c>
      <c r="C35" s="3" t="s">
        <v>166</v>
      </c>
      <c r="D35" s="3" t="s">
        <v>70</v>
      </c>
      <c r="E35" s="3" t="s">
        <v>263</v>
      </c>
      <c r="F35" s="3" t="s">
        <v>359</v>
      </c>
      <c r="G35" s="3" t="s">
        <v>434</v>
      </c>
      <c r="H35" s="3" t="s">
        <v>509</v>
      </c>
      <c r="I35" s="3" t="s">
        <v>35</v>
      </c>
      <c r="K35">
        <v>89</v>
      </c>
      <c r="L35" s="36" t="str">
        <f>Překlady!$C$31</f>
        <v>bílá</v>
      </c>
      <c r="M35" t="s">
        <v>26</v>
      </c>
      <c r="N35">
        <v>300</v>
      </c>
      <c r="O35" s="5" t="str">
        <f t="shared" si="1"/>
        <v>bílá_sklo_ne_89_300</v>
      </c>
      <c r="P35" s="3" t="s">
        <v>166</v>
      </c>
      <c r="Q35" t="str">
        <f t="shared" si="2"/>
        <v>K-StrongMax 18 89/300mm 40kg, bílá</v>
      </c>
    </row>
    <row r="36" spans="2:17">
      <c r="B36" t="str">
        <f t="shared" si="0"/>
        <v>K-StrongMax 18 89/350mm 40kg, bílá</v>
      </c>
      <c r="C36" s="3" t="s">
        <v>167</v>
      </c>
      <c r="D36" s="3" t="s">
        <v>71</v>
      </c>
      <c r="E36" s="3" t="s">
        <v>264</v>
      </c>
      <c r="F36" s="3" t="s">
        <v>360</v>
      </c>
      <c r="G36" s="3" t="s">
        <v>435</v>
      </c>
      <c r="H36" s="3" t="s">
        <v>510</v>
      </c>
      <c r="I36" s="3" t="s">
        <v>35</v>
      </c>
      <c r="K36">
        <v>89</v>
      </c>
      <c r="L36" s="36" t="str">
        <f>Překlady!$C$31</f>
        <v>bílá</v>
      </c>
      <c r="M36" t="s">
        <v>26</v>
      </c>
      <c r="N36">
        <v>350</v>
      </c>
      <c r="O36" s="5" t="str">
        <f t="shared" si="1"/>
        <v>bílá_sklo_ne_89_350</v>
      </c>
      <c r="P36" s="3" t="s">
        <v>167</v>
      </c>
      <c r="Q36" t="str">
        <f t="shared" si="2"/>
        <v>K-StrongMax 18 89/350mm 40kg, bílá</v>
      </c>
    </row>
    <row r="37" spans="2:17">
      <c r="B37" t="str">
        <f t="shared" si="0"/>
        <v>K-StrongMax 18 89/400mm 40kg, bílá</v>
      </c>
      <c r="C37" s="3" t="s">
        <v>168</v>
      </c>
      <c r="D37" s="3" t="s">
        <v>72</v>
      </c>
      <c r="E37" s="3" t="s">
        <v>265</v>
      </c>
      <c r="F37" s="3" t="s">
        <v>361</v>
      </c>
      <c r="G37" s="3" t="s">
        <v>436</v>
      </c>
      <c r="H37" s="3" t="s">
        <v>511</v>
      </c>
      <c r="I37" s="3" t="s">
        <v>35</v>
      </c>
      <c r="K37">
        <v>89</v>
      </c>
      <c r="L37" s="36" t="str">
        <f>Překlady!$C$31</f>
        <v>bílá</v>
      </c>
      <c r="M37" t="s">
        <v>26</v>
      </c>
      <c r="N37">
        <v>400</v>
      </c>
      <c r="O37" s="5" t="str">
        <f t="shared" si="1"/>
        <v>bílá_sklo_ne_89_400</v>
      </c>
      <c r="P37" s="3" t="s">
        <v>168</v>
      </c>
      <c r="Q37" t="str">
        <f t="shared" si="2"/>
        <v>K-StrongMax 18 89/400mm 40kg, bílá</v>
      </c>
    </row>
    <row r="38" spans="2:17">
      <c r="B38" t="str">
        <f t="shared" si="0"/>
        <v>K-StrongMax 18 89/450mm 40kg, bílá</v>
      </c>
      <c r="C38" s="3" t="s">
        <v>169</v>
      </c>
      <c r="D38" s="3" t="s">
        <v>73</v>
      </c>
      <c r="E38" s="3" t="s">
        <v>266</v>
      </c>
      <c r="F38" s="3" t="s">
        <v>362</v>
      </c>
      <c r="G38" s="3" t="s">
        <v>437</v>
      </c>
      <c r="H38" s="3" t="s">
        <v>512</v>
      </c>
      <c r="I38" s="3" t="s">
        <v>35</v>
      </c>
      <c r="K38">
        <v>89</v>
      </c>
      <c r="L38" s="36" t="str">
        <f>Překlady!$C$31</f>
        <v>bílá</v>
      </c>
      <c r="M38" t="s">
        <v>26</v>
      </c>
      <c r="N38">
        <v>450</v>
      </c>
      <c r="O38" s="5" t="str">
        <f t="shared" si="1"/>
        <v>bílá_sklo_ne_89_450</v>
      </c>
      <c r="P38" s="3" t="s">
        <v>169</v>
      </c>
      <c r="Q38" t="str">
        <f t="shared" si="2"/>
        <v>K-StrongMax 18 89/450mm 40kg, bílá</v>
      </c>
    </row>
    <row r="39" spans="2:17">
      <c r="B39" t="str">
        <f t="shared" si="0"/>
        <v>K-StrongMax 18 89/500mm 40kg, bílá</v>
      </c>
      <c r="C39" s="3" t="s">
        <v>170</v>
      </c>
      <c r="D39" s="3" t="s">
        <v>74</v>
      </c>
      <c r="E39" s="3" t="s">
        <v>267</v>
      </c>
      <c r="F39" s="3" t="s">
        <v>363</v>
      </c>
      <c r="G39" s="3" t="s">
        <v>438</v>
      </c>
      <c r="H39" s="3" t="s">
        <v>513</v>
      </c>
      <c r="I39" s="3" t="s">
        <v>35</v>
      </c>
      <c r="K39">
        <v>89</v>
      </c>
      <c r="L39" s="36" t="str">
        <f>Překlady!$C$31</f>
        <v>bílá</v>
      </c>
      <c r="M39" t="s">
        <v>26</v>
      </c>
      <c r="N39">
        <v>500</v>
      </c>
      <c r="O39" s="5" t="str">
        <f t="shared" si="1"/>
        <v>bílá_sklo_ne_89_500</v>
      </c>
      <c r="P39" s="3" t="s">
        <v>170</v>
      </c>
      <c r="Q39" t="str">
        <f t="shared" si="2"/>
        <v>K-StrongMax 18 89/500mm 40kg, bílá</v>
      </c>
    </row>
    <row r="40" spans="2:17">
      <c r="B40" t="str">
        <f t="shared" si="0"/>
        <v>K-StrongMax 18 89/550mm 40kg, bílá</v>
      </c>
      <c r="C40" s="3" t="s">
        <v>171</v>
      </c>
      <c r="D40" s="3" t="s">
        <v>75</v>
      </c>
      <c r="E40" s="3" t="s">
        <v>268</v>
      </c>
      <c r="F40" s="3" t="s">
        <v>364</v>
      </c>
      <c r="G40" s="3" t="s">
        <v>439</v>
      </c>
      <c r="H40" s="3" t="s">
        <v>514</v>
      </c>
      <c r="I40" s="3" t="s">
        <v>35</v>
      </c>
      <c r="K40">
        <v>89</v>
      </c>
      <c r="L40" s="36" t="str">
        <f>Překlady!$C$31</f>
        <v>bílá</v>
      </c>
      <c r="M40" t="s">
        <v>26</v>
      </c>
      <c r="N40">
        <v>550</v>
      </c>
      <c r="O40" s="5" t="str">
        <f t="shared" si="1"/>
        <v>bílá_sklo_ne_89_550</v>
      </c>
      <c r="P40" s="3" t="s">
        <v>171</v>
      </c>
      <c r="Q40" t="str">
        <f t="shared" si="2"/>
        <v>K-StrongMax 18 89/550mm 40kg, bílá</v>
      </c>
    </row>
    <row r="41" spans="2:17">
      <c r="B41" t="str">
        <f t="shared" si="0"/>
        <v>K-StrongMax 18 89/600mm 40kg, bílá</v>
      </c>
      <c r="C41" s="3" t="s">
        <v>172</v>
      </c>
      <c r="D41" s="3" t="s">
        <v>76</v>
      </c>
      <c r="E41" s="3" t="s">
        <v>269</v>
      </c>
      <c r="F41" s="3" t="s">
        <v>365</v>
      </c>
      <c r="G41" s="3" t="s">
        <v>440</v>
      </c>
      <c r="H41" s="3" t="s">
        <v>515</v>
      </c>
      <c r="I41" s="3" t="s">
        <v>35</v>
      </c>
      <c r="K41">
        <v>89</v>
      </c>
      <c r="L41" s="36" t="str">
        <f>Překlady!$C$31</f>
        <v>bílá</v>
      </c>
      <c r="M41" t="s">
        <v>26</v>
      </c>
      <c r="N41">
        <v>600</v>
      </c>
      <c r="O41" s="5" t="str">
        <f t="shared" si="1"/>
        <v>bílá_sklo_ne_89_600</v>
      </c>
      <c r="P41" s="3" t="s">
        <v>172</v>
      </c>
      <c r="Q41" t="str">
        <f t="shared" si="2"/>
        <v>K-StrongMax 18 89/600mm 40kg, bílá</v>
      </c>
    </row>
    <row r="42" spans="2:17">
      <c r="B42" t="str">
        <f t="shared" si="0"/>
        <v>K-StrongMax 18 89/650mm 40kg, bílá</v>
      </c>
      <c r="C42" s="3" t="s">
        <v>173</v>
      </c>
      <c r="D42" s="3" t="s">
        <v>77</v>
      </c>
      <c r="E42" s="3" t="s">
        <v>270</v>
      </c>
      <c r="F42" s="3" t="s">
        <v>366</v>
      </c>
      <c r="G42" s="3" t="s">
        <v>441</v>
      </c>
      <c r="H42" s="3" t="s">
        <v>516</v>
      </c>
      <c r="I42" s="3" t="s">
        <v>37</v>
      </c>
      <c r="K42">
        <v>89</v>
      </c>
      <c r="L42" s="36" t="str">
        <f>Překlady!$C$31</f>
        <v>bílá</v>
      </c>
      <c r="M42" t="s">
        <v>26</v>
      </c>
      <c r="N42">
        <v>650</v>
      </c>
      <c r="O42" s="5" t="str">
        <f t="shared" si="1"/>
        <v>bílá_sklo_ne_89_650</v>
      </c>
      <c r="P42" s="3" t="s">
        <v>173</v>
      </c>
      <c r="Q42" t="str">
        <f t="shared" si="2"/>
        <v>K-StrongMax 18 89/650mm 40kg, bílá</v>
      </c>
    </row>
    <row r="43" spans="2:17">
      <c r="B43" t="str">
        <f t="shared" si="0"/>
        <v>K-StrongMax 18 121/300mm 40kg, bílá</v>
      </c>
      <c r="C43" s="3" t="s">
        <v>174</v>
      </c>
      <c r="D43" s="3" t="s">
        <v>78</v>
      </c>
      <c r="E43" s="3" t="s">
        <v>271</v>
      </c>
      <c r="F43" s="3" t="s">
        <v>367</v>
      </c>
      <c r="G43" s="3" t="s">
        <v>442</v>
      </c>
      <c r="H43" s="3" t="s">
        <v>517</v>
      </c>
      <c r="I43" s="3" t="s">
        <v>35</v>
      </c>
      <c r="K43">
        <v>121</v>
      </c>
      <c r="L43" s="36" t="str">
        <f>Překlady!$C$31</f>
        <v>bílá</v>
      </c>
      <c r="M43" t="s">
        <v>26</v>
      </c>
      <c r="N43">
        <v>300</v>
      </c>
      <c r="O43" s="5" t="str">
        <f t="shared" si="1"/>
        <v>bílá_sklo_ne_121_300</v>
      </c>
      <c r="P43" s="3" t="s">
        <v>174</v>
      </c>
      <c r="Q43" t="str">
        <f t="shared" si="2"/>
        <v>K-StrongMax 18 121/300mm 40kg, bílá</v>
      </c>
    </row>
    <row r="44" spans="2:17">
      <c r="B44" t="str">
        <f t="shared" si="0"/>
        <v>K-StrongMax 18 121/350mm 40kg, bílá</v>
      </c>
      <c r="C44" s="3" t="s">
        <v>175</v>
      </c>
      <c r="D44" s="3" t="s">
        <v>79</v>
      </c>
      <c r="E44" s="3" t="s">
        <v>272</v>
      </c>
      <c r="F44" s="3" t="s">
        <v>368</v>
      </c>
      <c r="G44" s="3" t="s">
        <v>443</v>
      </c>
      <c r="H44" s="3" t="s">
        <v>518</v>
      </c>
      <c r="I44" s="3" t="s">
        <v>35</v>
      </c>
      <c r="K44">
        <v>121</v>
      </c>
      <c r="L44" s="36" t="str">
        <f>Překlady!$C$31</f>
        <v>bílá</v>
      </c>
      <c r="M44" t="s">
        <v>26</v>
      </c>
      <c r="N44">
        <v>350</v>
      </c>
      <c r="O44" s="5" t="str">
        <f t="shared" si="1"/>
        <v>bílá_sklo_ne_121_350</v>
      </c>
      <c r="P44" s="3" t="s">
        <v>175</v>
      </c>
      <c r="Q44" t="str">
        <f t="shared" si="2"/>
        <v>K-StrongMax 18 121/350mm 40kg, bílá</v>
      </c>
    </row>
    <row r="45" spans="2:17">
      <c r="B45" t="str">
        <f t="shared" si="0"/>
        <v>K-StrongMax 18 121/400mm 40kg, bílá</v>
      </c>
      <c r="C45" s="3" t="s">
        <v>176</v>
      </c>
      <c r="D45" s="3" t="s">
        <v>80</v>
      </c>
      <c r="E45" s="3" t="s">
        <v>273</v>
      </c>
      <c r="F45" s="3" t="s">
        <v>369</v>
      </c>
      <c r="G45" s="3" t="s">
        <v>444</v>
      </c>
      <c r="H45" s="3" t="s">
        <v>519</v>
      </c>
      <c r="I45" s="3" t="s">
        <v>35</v>
      </c>
      <c r="K45">
        <v>121</v>
      </c>
      <c r="L45" s="36" t="str">
        <f>Překlady!$C$31</f>
        <v>bílá</v>
      </c>
      <c r="M45" t="s">
        <v>26</v>
      </c>
      <c r="N45">
        <v>400</v>
      </c>
      <c r="O45" s="5" t="str">
        <f t="shared" si="1"/>
        <v>bílá_sklo_ne_121_400</v>
      </c>
      <c r="P45" s="3" t="s">
        <v>176</v>
      </c>
      <c r="Q45" t="str">
        <f t="shared" si="2"/>
        <v>K-StrongMax 18 121/400mm 40kg, bílá</v>
      </c>
    </row>
    <row r="46" spans="2:17">
      <c r="B46" t="str">
        <f t="shared" si="0"/>
        <v>K-StrongMax 18 121/450mm 40kg, bílá</v>
      </c>
      <c r="C46" s="3" t="s">
        <v>177</v>
      </c>
      <c r="D46" s="3" t="s">
        <v>81</v>
      </c>
      <c r="E46" s="3" t="s">
        <v>274</v>
      </c>
      <c r="F46" s="3" t="s">
        <v>370</v>
      </c>
      <c r="G46" s="3" t="s">
        <v>445</v>
      </c>
      <c r="H46" s="3" t="s">
        <v>520</v>
      </c>
      <c r="I46" s="3" t="s">
        <v>35</v>
      </c>
      <c r="K46">
        <v>121</v>
      </c>
      <c r="L46" s="36" t="str">
        <f>Překlady!$C$31</f>
        <v>bílá</v>
      </c>
      <c r="M46" t="s">
        <v>26</v>
      </c>
      <c r="N46">
        <v>450</v>
      </c>
      <c r="O46" s="5" t="str">
        <f t="shared" si="1"/>
        <v>bílá_sklo_ne_121_450</v>
      </c>
      <c r="P46" s="3" t="s">
        <v>177</v>
      </c>
      <c r="Q46" t="str">
        <f t="shared" si="2"/>
        <v>K-StrongMax 18 121/450mm 40kg, bílá</v>
      </c>
    </row>
    <row r="47" spans="2:17">
      <c r="B47" t="str">
        <f t="shared" si="0"/>
        <v>K-StrongMax 18 121/500mm 40kg, bílá</v>
      </c>
      <c r="C47" s="3" t="s">
        <v>178</v>
      </c>
      <c r="D47" s="3" t="s">
        <v>82</v>
      </c>
      <c r="E47" s="3" t="s">
        <v>275</v>
      </c>
      <c r="F47" s="3" t="s">
        <v>371</v>
      </c>
      <c r="G47" s="3" t="s">
        <v>446</v>
      </c>
      <c r="H47" s="3" t="s">
        <v>521</v>
      </c>
      <c r="I47" s="3" t="s">
        <v>35</v>
      </c>
      <c r="K47">
        <v>121</v>
      </c>
      <c r="L47" s="36" t="str">
        <f>Překlady!$C$31</f>
        <v>bílá</v>
      </c>
      <c r="M47" t="s">
        <v>26</v>
      </c>
      <c r="N47">
        <v>500</v>
      </c>
      <c r="O47" s="5" t="str">
        <f t="shared" si="1"/>
        <v>bílá_sklo_ne_121_500</v>
      </c>
      <c r="P47" s="3" t="s">
        <v>178</v>
      </c>
      <c r="Q47" t="str">
        <f t="shared" si="2"/>
        <v>K-StrongMax 18 121/500mm 40kg, bílá</v>
      </c>
    </row>
    <row r="48" spans="2:17">
      <c r="B48" t="str">
        <f t="shared" si="0"/>
        <v>K-StrongMax 18 121/550mm 40kg, bílá</v>
      </c>
      <c r="C48" s="3" t="s">
        <v>179</v>
      </c>
      <c r="D48" s="3" t="s">
        <v>83</v>
      </c>
      <c r="E48" s="3" t="s">
        <v>276</v>
      </c>
      <c r="F48" s="3" t="s">
        <v>372</v>
      </c>
      <c r="G48" s="3" t="s">
        <v>447</v>
      </c>
      <c r="H48" s="3" t="s">
        <v>522</v>
      </c>
      <c r="I48" s="3" t="s">
        <v>35</v>
      </c>
      <c r="K48">
        <v>121</v>
      </c>
      <c r="L48" s="36" t="str">
        <f>Překlady!$C$31</f>
        <v>bílá</v>
      </c>
      <c r="M48" t="s">
        <v>26</v>
      </c>
      <c r="N48">
        <v>550</v>
      </c>
      <c r="O48" s="5" t="str">
        <f t="shared" si="1"/>
        <v>bílá_sklo_ne_121_550</v>
      </c>
      <c r="P48" s="3" t="s">
        <v>179</v>
      </c>
      <c r="Q48" t="str">
        <f t="shared" si="2"/>
        <v>K-StrongMax 18 121/550mm 40kg, bílá</v>
      </c>
    </row>
    <row r="49" spans="2:17">
      <c r="B49" t="str">
        <f t="shared" si="0"/>
        <v>K-StrongMax 18 121/600mm 40kg, bílá</v>
      </c>
      <c r="C49" s="3" t="s">
        <v>180</v>
      </c>
      <c r="D49" s="3" t="s">
        <v>84</v>
      </c>
      <c r="E49" s="3" t="s">
        <v>277</v>
      </c>
      <c r="F49" s="3" t="s">
        <v>373</v>
      </c>
      <c r="G49" s="3" t="s">
        <v>448</v>
      </c>
      <c r="H49" s="3" t="s">
        <v>523</v>
      </c>
      <c r="I49" s="3" t="s">
        <v>35</v>
      </c>
      <c r="K49">
        <v>121</v>
      </c>
      <c r="L49" s="36" t="str">
        <f>Překlady!$C$31</f>
        <v>bílá</v>
      </c>
      <c r="M49" t="s">
        <v>26</v>
      </c>
      <c r="N49">
        <v>600</v>
      </c>
      <c r="O49" s="5" t="str">
        <f t="shared" si="1"/>
        <v>bílá_sklo_ne_121_600</v>
      </c>
      <c r="P49" s="3" t="s">
        <v>180</v>
      </c>
      <c r="Q49" t="str">
        <f t="shared" si="2"/>
        <v>K-StrongMax 18 121/600mm 40kg, bílá</v>
      </c>
    </row>
    <row r="50" spans="2:17">
      <c r="B50" t="str">
        <f t="shared" si="0"/>
        <v>K-StrongMax 18 121/650mm 40kg, bílá</v>
      </c>
      <c r="C50" s="3" t="s">
        <v>181</v>
      </c>
      <c r="D50" s="3" t="s">
        <v>85</v>
      </c>
      <c r="E50" s="3" t="s">
        <v>278</v>
      </c>
      <c r="F50" s="3" t="s">
        <v>374</v>
      </c>
      <c r="G50" s="3" t="s">
        <v>449</v>
      </c>
      <c r="H50" s="3" t="s">
        <v>524</v>
      </c>
      <c r="I50" s="3" t="s">
        <v>37</v>
      </c>
      <c r="K50">
        <v>121</v>
      </c>
      <c r="L50" s="36" t="str">
        <f>Překlady!$C$31</f>
        <v>bílá</v>
      </c>
      <c r="M50" t="s">
        <v>26</v>
      </c>
      <c r="N50">
        <v>650</v>
      </c>
      <c r="O50" s="5" t="str">
        <f t="shared" si="1"/>
        <v>bílá_sklo_ne_121_650</v>
      </c>
      <c r="P50" s="3" t="s">
        <v>181</v>
      </c>
      <c r="Q50" t="str">
        <f t="shared" si="2"/>
        <v>K-StrongMax 18 121/650mm 40kg, bílá</v>
      </c>
    </row>
    <row r="51" spans="2:17">
      <c r="B51" t="str">
        <f t="shared" si="0"/>
        <v>K-StrongMax 18 185/300mm 40kg, bílá</v>
      </c>
      <c r="C51" s="3" t="s">
        <v>182</v>
      </c>
      <c r="D51" s="3" t="s">
        <v>86</v>
      </c>
      <c r="E51" s="3" t="s">
        <v>279</v>
      </c>
      <c r="F51" s="3" t="s">
        <v>375</v>
      </c>
      <c r="G51" s="3" t="s">
        <v>450</v>
      </c>
      <c r="H51" s="3" t="s">
        <v>525</v>
      </c>
      <c r="I51" s="3" t="s">
        <v>35</v>
      </c>
      <c r="K51">
        <v>185</v>
      </c>
      <c r="L51" s="36" t="str">
        <f>Překlady!$C$31</f>
        <v>bílá</v>
      </c>
      <c r="M51" t="s">
        <v>26</v>
      </c>
      <c r="N51">
        <v>300</v>
      </c>
      <c r="O51" s="5" t="str">
        <f t="shared" si="1"/>
        <v>bílá_sklo_ne_185_300</v>
      </c>
      <c r="P51" s="3" t="s">
        <v>182</v>
      </c>
      <c r="Q51" t="str">
        <f t="shared" si="2"/>
        <v>K-StrongMax 18 185/300mm 40kg, bílá</v>
      </c>
    </row>
    <row r="52" spans="2:17">
      <c r="B52" t="str">
        <f t="shared" si="0"/>
        <v>K-StrongMax 18 185/350mm 40kg, bílá</v>
      </c>
      <c r="C52" s="3" t="s">
        <v>183</v>
      </c>
      <c r="D52" s="3" t="s">
        <v>87</v>
      </c>
      <c r="E52" s="3" t="s">
        <v>280</v>
      </c>
      <c r="F52" s="3" t="s">
        <v>376</v>
      </c>
      <c r="G52" s="3" t="s">
        <v>451</v>
      </c>
      <c r="H52" s="3" t="s">
        <v>526</v>
      </c>
      <c r="I52" s="3" t="s">
        <v>35</v>
      </c>
      <c r="K52">
        <v>185</v>
      </c>
      <c r="L52" s="36" t="str">
        <f>Překlady!$C$31</f>
        <v>bílá</v>
      </c>
      <c r="M52" t="s">
        <v>26</v>
      </c>
      <c r="N52">
        <v>350</v>
      </c>
      <c r="O52" s="5" t="str">
        <f t="shared" si="1"/>
        <v>bílá_sklo_ne_185_350</v>
      </c>
      <c r="P52" s="3" t="s">
        <v>183</v>
      </c>
      <c r="Q52" t="str">
        <f t="shared" si="2"/>
        <v>K-StrongMax 18 185/350mm 40kg, bílá</v>
      </c>
    </row>
    <row r="53" spans="2:17">
      <c r="B53" t="str">
        <f t="shared" si="0"/>
        <v>K-StrongMax 18 185/400mm 40kg, bílá</v>
      </c>
      <c r="C53" s="3" t="s">
        <v>184</v>
      </c>
      <c r="D53" s="3" t="s">
        <v>88</v>
      </c>
      <c r="E53" s="3" t="s">
        <v>281</v>
      </c>
      <c r="F53" s="3" t="s">
        <v>377</v>
      </c>
      <c r="G53" s="3" t="s">
        <v>452</v>
      </c>
      <c r="H53" s="3" t="s">
        <v>527</v>
      </c>
      <c r="I53" s="3" t="s">
        <v>35</v>
      </c>
      <c r="K53">
        <v>185</v>
      </c>
      <c r="L53" s="36" t="str">
        <f>Překlady!$C$31</f>
        <v>bílá</v>
      </c>
      <c r="M53" t="s">
        <v>26</v>
      </c>
      <c r="N53">
        <v>400</v>
      </c>
      <c r="O53" s="5" t="str">
        <f t="shared" si="1"/>
        <v>bílá_sklo_ne_185_400</v>
      </c>
      <c r="P53" s="3" t="s">
        <v>184</v>
      </c>
      <c r="Q53" t="str">
        <f t="shared" si="2"/>
        <v>K-StrongMax 18 185/400mm 40kg, bílá</v>
      </c>
    </row>
    <row r="54" spans="2:17">
      <c r="B54" t="str">
        <f t="shared" si="0"/>
        <v>K-StrongMax 18 185/450mm 40kg, bílá</v>
      </c>
      <c r="C54" s="3" t="s">
        <v>185</v>
      </c>
      <c r="D54" s="3" t="s">
        <v>89</v>
      </c>
      <c r="E54" s="3" t="s">
        <v>282</v>
      </c>
      <c r="F54" s="3" t="s">
        <v>378</v>
      </c>
      <c r="G54" s="3" t="s">
        <v>453</v>
      </c>
      <c r="H54" s="3" t="s">
        <v>528</v>
      </c>
      <c r="I54" s="3" t="s">
        <v>35</v>
      </c>
      <c r="K54">
        <v>185</v>
      </c>
      <c r="L54" s="36" t="str">
        <f>Překlady!$C$31</f>
        <v>bílá</v>
      </c>
      <c r="M54" t="s">
        <v>26</v>
      </c>
      <c r="N54">
        <v>450</v>
      </c>
      <c r="O54" s="5" t="str">
        <f t="shared" si="1"/>
        <v>bílá_sklo_ne_185_450</v>
      </c>
      <c r="P54" s="3" t="s">
        <v>185</v>
      </c>
      <c r="Q54" t="str">
        <f t="shared" si="2"/>
        <v>K-StrongMax 18 185/450mm 40kg, bílá</v>
      </c>
    </row>
    <row r="55" spans="2:17">
      <c r="B55" t="str">
        <f t="shared" si="0"/>
        <v>K-StrongMax 18 185/500mm 40kg, bílá</v>
      </c>
      <c r="C55" s="3" t="s">
        <v>186</v>
      </c>
      <c r="D55" s="3" t="s">
        <v>90</v>
      </c>
      <c r="E55" s="3" t="s">
        <v>283</v>
      </c>
      <c r="F55" s="3" t="s">
        <v>379</v>
      </c>
      <c r="G55" s="3" t="s">
        <v>454</v>
      </c>
      <c r="H55" s="3" t="s">
        <v>529</v>
      </c>
      <c r="I55" s="3" t="s">
        <v>35</v>
      </c>
      <c r="K55">
        <v>185</v>
      </c>
      <c r="L55" s="36" t="str">
        <f>Překlady!$C$31</f>
        <v>bílá</v>
      </c>
      <c r="M55" t="s">
        <v>26</v>
      </c>
      <c r="N55">
        <v>500</v>
      </c>
      <c r="O55" s="5" t="str">
        <f t="shared" si="1"/>
        <v>bílá_sklo_ne_185_500</v>
      </c>
      <c r="P55" s="3" t="s">
        <v>186</v>
      </c>
      <c r="Q55" t="str">
        <f t="shared" si="2"/>
        <v>K-StrongMax 18 185/500mm 40kg, bílá</v>
      </c>
    </row>
    <row r="56" spans="2:17">
      <c r="B56" t="str">
        <f t="shared" si="0"/>
        <v>K-StrongMax 18 185/550mm 40kg, bílá</v>
      </c>
      <c r="C56" s="3" t="s">
        <v>187</v>
      </c>
      <c r="D56" s="3" t="s">
        <v>91</v>
      </c>
      <c r="E56" s="3" t="s">
        <v>284</v>
      </c>
      <c r="F56" s="3" t="s">
        <v>380</v>
      </c>
      <c r="G56" s="3" t="s">
        <v>455</v>
      </c>
      <c r="H56" s="3" t="s">
        <v>530</v>
      </c>
      <c r="I56" s="3" t="s">
        <v>35</v>
      </c>
      <c r="K56">
        <v>185</v>
      </c>
      <c r="L56" s="36" t="str">
        <f>Překlady!$C$31</f>
        <v>bílá</v>
      </c>
      <c r="M56" t="s">
        <v>26</v>
      </c>
      <c r="N56">
        <v>550</v>
      </c>
      <c r="O56" s="5" t="str">
        <f t="shared" si="1"/>
        <v>bílá_sklo_ne_185_550</v>
      </c>
      <c r="P56" s="3" t="s">
        <v>187</v>
      </c>
      <c r="Q56" t="str">
        <f t="shared" si="2"/>
        <v>K-StrongMax 18 185/550mm 40kg, bílá</v>
      </c>
    </row>
    <row r="57" spans="2:17">
      <c r="B57" t="str">
        <f t="shared" si="0"/>
        <v>K-StrongMax 18 185/600mm 40kg, bílá</v>
      </c>
      <c r="C57" s="3" t="s">
        <v>188</v>
      </c>
      <c r="D57" s="3" t="s">
        <v>92</v>
      </c>
      <c r="E57" s="3" t="s">
        <v>285</v>
      </c>
      <c r="F57" s="3" t="s">
        <v>381</v>
      </c>
      <c r="G57" s="3" t="s">
        <v>456</v>
      </c>
      <c r="H57" s="3" t="s">
        <v>531</v>
      </c>
      <c r="I57" s="3" t="s">
        <v>35</v>
      </c>
      <c r="K57">
        <v>185</v>
      </c>
      <c r="L57" s="36" t="str">
        <f>Překlady!$C$31</f>
        <v>bílá</v>
      </c>
      <c r="M57" t="s">
        <v>26</v>
      </c>
      <c r="N57">
        <v>600</v>
      </c>
      <c r="O57" s="5" t="str">
        <f t="shared" si="1"/>
        <v>bílá_sklo_ne_185_600</v>
      </c>
      <c r="P57" s="3" t="s">
        <v>188</v>
      </c>
      <c r="Q57" t="str">
        <f t="shared" si="2"/>
        <v>K-StrongMax 18 185/600mm 40kg, bílá</v>
      </c>
    </row>
    <row r="58" spans="2:17">
      <c r="B58" t="str">
        <f t="shared" si="0"/>
        <v>K-StrongMax 18 185/650mm 40kg, bílá</v>
      </c>
      <c r="C58" s="3" t="s">
        <v>189</v>
      </c>
      <c r="D58" s="3" t="s">
        <v>93</v>
      </c>
      <c r="E58" s="3" t="s">
        <v>286</v>
      </c>
      <c r="F58" s="3" t="s">
        <v>382</v>
      </c>
      <c r="G58" s="3" t="s">
        <v>457</v>
      </c>
      <c r="H58" s="3" t="s">
        <v>532</v>
      </c>
      <c r="I58" s="3" t="s">
        <v>35</v>
      </c>
      <c r="K58">
        <v>185</v>
      </c>
      <c r="L58" s="36" t="str">
        <f>Překlady!$C$31</f>
        <v>bílá</v>
      </c>
      <c r="M58" t="s">
        <v>26</v>
      </c>
      <c r="N58">
        <v>650</v>
      </c>
      <c r="O58" s="5" t="str">
        <f t="shared" si="1"/>
        <v>bílá_sklo_ne_185_650</v>
      </c>
      <c r="P58" s="3" t="s">
        <v>189</v>
      </c>
      <c r="Q58" t="str">
        <f t="shared" si="2"/>
        <v>K-StrongMax 18 185/650mm 40kg, bílá</v>
      </c>
    </row>
    <row r="59" spans="2:17">
      <c r="B59" t="str">
        <f t="shared" si="0"/>
        <v>K-StrongMax 18 249/450mm 40kg, bílá</v>
      </c>
      <c r="C59" s="3" t="s">
        <v>190</v>
      </c>
      <c r="D59" s="3" t="s">
        <v>94</v>
      </c>
      <c r="E59" s="3" t="s">
        <v>287</v>
      </c>
      <c r="F59" s="3" t="s">
        <v>383</v>
      </c>
      <c r="G59" s="3" t="s">
        <v>458</v>
      </c>
      <c r="H59" s="3" t="s">
        <v>533</v>
      </c>
      <c r="I59" s="3" t="s">
        <v>35</v>
      </c>
      <c r="K59">
        <v>249</v>
      </c>
      <c r="L59" s="36" t="str">
        <f>Překlady!$C$31</f>
        <v>bílá</v>
      </c>
      <c r="M59" t="s">
        <v>26</v>
      </c>
      <c r="N59">
        <v>450</v>
      </c>
      <c r="O59" s="5" t="str">
        <f t="shared" si="1"/>
        <v>bílá_sklo_ne_249_450</v>
      </c>
      <c r="P59" s="3" t="s">
        <v>190</v>
      </c>
      <c r="Q59" t="str">
        <f t="shared" si="2"/>
        <v>K-StrongMax 18 249/450mm 40kg, bílá</v>
      </c>
    </row>
    <row r="60" spans="2:17">
      <c r="B60" t="str">
        <f t="shared" si="0"/>
        <v>K-StrongMax 18 249/500mm 40kg, bílá</v>
      </c>
      <c r="C60" s="3" t="s">
        <v>191</v>
      </c>
      <c r="D60" s="3" t="s">
        <v>95</v>
      </c>
      <c r="E60" s="3" t="s">
        <v>288</v>
      </c>
      <c r="F60" s="3" t="s">
        <v>384</v>
      </c>
      <c r="G60" s="3" t="s">
        <v>459</v>
      </c>
      <c r="H60" s="3" t="s">
        <v>534</v>
      </c>
      <c r="I60" s="3" t="s">
        <v>35</v>
      </c>
      <c r="K60">
        <v>249</v>
      </c>
      <c r="L60" s="36" t="str">
        <f>Překlady!$C$31</f>
        <v>bílá</v>
      </c>
      <c r="M60" t="s">
        <v>26</v>
      </c>
      <c r="N60">
        <v>500</v>
      </c>
      <c r="O60" s="5" t="str">
        <f t="shared" si="1"/>
        <v>bílá_sklo_ne_249_500</v>
      </c>
      <c r="P60" s="3" t="s">
        <v>191</v>
      </c>
      <c r="Q60" t="str">
        <f t="shared" si="2"/>
        <v>K-StrongMax 18 249/500mm 40kg, bílá</v>
      </c>
    </row>
    <row r="61" spans="2:17">
      <c r="B61" t="str">
        <f t="shared" si="0"/>
        <v>K-StrongMax 18 249/550mm 40kg, bílá</v>
      </c>
      <c r="C61" s="3" t="s">
        <v>192</v>
      </c>
      <c r="D61" s="3" t="s">
        <v>96</v>
      </c>
      <c r="E61" s="3" t="s">
        <v>289</v>
      </c>
      <c r="F61" s="3" t="s">
        <v>385</v>
      </c>
      <c r="G61" s="3" t="s">
        <v>460</v>
      </c>
      <c r="H61" s="3" t="s">
        <v>535</v>
      </c>
      <c r="I61" s="3" t="s">
        <v>35</v>
      </c>
      <c r="K61">
        <v>249</v>
      </c>
      <c r="L61" s="36" t="str">
        <f>Překlady!$C$31</f>
        <v>bílá</v>
      </c>
      <c r="M61" t="s">
        <v>26</v>
      </c>
      <c r="N61">
        <v>550</v>
      </c>
      <c r="O61" s="5" t="str">
        <f t="shared" si="1"/>
        <v>bílá_sklo_ne_249_550</v>
      </c>
      <c r="P61" s="3" t="s">
        <v>192</v>
      </c>
      <c r="Q61" t="str">
        <f t="shared" si="2"/>
        <v>K-StrongMax 18 249/550mm 40kg, bílá</v>
      </c>
    </row>
    <row r="62" spans="2:17">
      <c r="B62" t="str">
        <f t="shared" si="0"/>
        <v>K-StrongMax 18 249/600mm 40kg, bílá</v>
      </c>
      <c r="C62" s="3" t="s">
        <v>193</v>
      </c>
      <c r="D62" s="3" t="s">
        <v>97</v>
      </c>
      <c r="E62" s="3" t="s">
        <v>290</v>
      </c>
      <c r="F62" s="3" t="s">
        <v>386</v>
      </c>
      <c r="G62" s="3" t="s">
        <v>461</v>
      </c>
      <c r="H62" s="3" t="s">
        <v>536</v>
      </c>
      <c r="I62" s="3" t="s">
        <v>35</v>
      </c>
      <c r="K62">
        <v>249</v>
      </c>
      <c r="L62" s="36" t="str">
        <f>Překlady!$C$31</f>
        <v>bílá</v>
      </c>
      <c r="M62" t="s">
        <v>26</v>
      </c>
      <c r="N62">
        <v>600</v>
      </c>
      <c r="O62" s="5" t="str">
        <f t="shared" si="1"/>
        <v>bílá_sklo_ne_249_600</v>
      </c>
      <c r="P62" s="3" t="s">
        <v>193</v>
      </c>
      <c r="Q62" t="str">
        <f t="shared" si="2"/>
        <v>K-StrongMax 18 249/600mm 40kg, bílá</v>
      </c>
    </row>
    <row r="63" spans="2:17">
      <c r="B63" t="str">
        <f t="shared" si="0"/>
        <v>K-StrongMax 18 249/650mm 40kg, bílá</v>
      </c>
      <c r="C63" s="3" t="s">
        <v>194</v>
      </c>
      <c r="D63" s="3" t="s">
        <v>98</v>
      </c>
      <c r="E63" s="3" t="s">
        <v>291</v>
      </c>
      <c r="F63" s="3" t="s">
        <v>387</v>
      </c>
      <c r="G63" s="3" t="s">
        <v>462</v>
      </c>
      <c r="H63" s="3" t="s">
        <v>537</v>
      </c>
      <c r="I63" s="3" t="s">
        <v>37</v>
      </c>
      <c r="K63">
        <v>249</v>
      </c>
      <c r="L63" s="36" t="str">
        <f>Překlady!$C$31</f>
        <v>bílá</v>
      </c>
      <c r="M63" t="s">
        <v>26</v>
      </c>
      <c r="N63">
        <v>650</v>
      </c>
      <c r="O63" s="5" t="str">
        <f t="shared" si="1"/>
        <v>bílá_sklo_ne_249_650</v>
      </c>
      <c r="P63" s="3" t="s">
        <v>194</v>
      </c>
      <c r="Q63" t="str">
        <f t="shared" si="2"/>
        <v>K-StrongMax 18 249/650mm 40kg, bílá</v>
      </c>
    </row>
    <row r="64" spans="2:17">
      <c r="B64" t="str">
        <f t="shared" si="0"/>
        <v>K-StrongMax 18 185/450mm 40kg, prosklené bočnice, bílá</v>
      </c>
      <c r="C64" s="3" t="s">
        <v>195</v>
      </c>
      <c r="D64" s="3" t="s">
        <v>99</v>
      </c>
      <c r="E64" s="3" t="s">
        <v>292</v>
      </c>
      <c r="F64" s="3" t="s">
        <v>388</v>
      </c>
      <c r="G64" s="3" t="s">
        <v>463</v>
      </c>
      <c r="H64" s="3" t="s">
        <v>538</v>
      </c>
      <c r="I64" s="3" t="s">
        <v>37</v>
      </c>
      <c r="K64">
        <v>185</v>
      </c>
      <c r="L64" s="36" t="str">
        <f>Překlady!$C$31</f>
        <v>bílá</v>
      </c>
      <c r="M64" t="s">
        <v>24</v>
      </c>
      <c r="N64">
        <v>450</v>
      </c>
      <c r="O64" s="5" t="str">
        <f t="shared" si="1"/>
        <v>bílá_sklo_ano_185_450</v>
      </c>
      <c r="P64" s="3" t="s">
        <v>195</v>
      </c>
      <c r="Q64" t="str">
        <f t="shared" si="2"/>
        <v>K-StrongMax 18 185/450mm 40kg, prosklené bočnice, bílá</v>
      </c>
    </row>
    <row r="65" spans="2:17">
      <c r="B65" t="str">
        <f t="shared" si="0"/>
        <v>K-StrongMax 18 185/500mm 40kg, prosklené bočnice, bílá</v>
      </c>
      <c r="C65" s="3" t="s">
        <v>196</v>
      </c>
      <c r="D65" s="4" t="s">
        <v>100</v>
      </c>
      <c r="E65" s="3" t="s">
        <v>293</v>
      </c>
      <c r="F65" s="3" t="s">
        <v>389</v>
      </c>
      <c r="G65" s="3" t="s">
        <v>464</v>
      </c>
      <c r="H65" s="3" t="s">
        <v>539</v>
      </c>
      <c r="I65" s="3" t="s">
        <v>37</v>
      </c>
      <c r="K65">
        <v>185</v>
      </c>
      <c r="L65" s="36" t="str">
        <f>Překlady!$C$31</f>
        <v>bílá</v>
      </c>
      <c r="M65" t="s">
        <v>24</v>
      </c>
      <c r="N65">
        <v>500</v>
      </c>
      <c r="O65" s="5" t="str">
        <f t="shared" si="1"/>
        <v>bílá_sklo_ano_185_500</v>
      </c>
      <c r="P65" s="3" t="s">
        <v>196</v>
      </c>
      <c r="Q65" t="str">
        <f t="shared" si="2"/>
        <v>K-StrongMax 18 185/500mm 40kg, prosklené bočnice, bílá</v>
      </c>
    </row>
    <row r="66" spans="2:17">
      <c r="B66" t="str">
        <f t="shared" si="0"/>
        <v>K-StrongMax 18 185/550mm 40kg, prosklené bočnice, bílá</v>
      </c>
      <c r="C66" s="3" t="s">
        <v>197</v>
      </c>
      <c r="D66" s="3" t="s">
        <v>101</v>
      </c>
      <c r="E66" s="3" t="s">
        <v>294</v>
      </c>
      <c r="F66" s="3" t="s">
        <v>390</v>
      </c>
      <c r="G66" s="3" t="s">
        <v>465</v>
      </c>
      <c r="H66" s="3" t="s">
        <v>540</v>
      </c>
      <c r="I66" s="3" t="s">
        <v>37</v>
      </c>
      <c r="K66">
        <v>185</v>
      </c>
      <c r="L66" s="36" t="str">
        <f>Překlady!$C$31</f>
        <v>bílá</v>
      </c>
      <c r="M66" t="s">
        <v>24</v>
      </c>
      <c r="N66">
        <v>550</v>
      </c>
      <c r="O66" s="5" t="str">
        <f t="shared" si="1"/>
        <v>bílá_sklo_ano_185_550</v>
      </c>
      <c r="P66" s="3" t="s">
        <v>197</v>
      </c>
      <c r="Q66" t="str">
        <f t="shared" si="2"/>
        <v>K-StrongMax 18 185/550mm 40kg, prosklené bočnice, bílá</v>
      </c>
    </row>
    <row r="67" spans="2:17">
      <c r="B67" t="str">
        <f t="shared" si="0"/>
        <v>K-StrongMax 18 89/450mm 40kg, černá</v>
      </c>
      <c r="C67" s="3" t="s">
        <v>198</v>
      </c>
      <c r="D67" s="3" t="s">
        <v>102</v>
      </c>
      <c r="E67" s="3" t="s">
        <v>295</v>
      </c>
      <c r="F67" s="3" t="s">
        <v>391</v>
      </c>
      <c r="G67" s="3" t="s">
        <v>466</v>
      </c>
      <c r="H67" s="3" t="s">
        <v>541</v>
      </c>
      <c r="I67" s="3" t="s">
        <v>37</v>
      </c>
      <c r="K67">
        <v>89</v>
      </c>
      <c r="L67" s="36" t="str">
        <f>Překlady!$C$32</f>
        <v>černá</v>
      </c>
      <c r="M67" t="s">
        <v>26</v>
      </c>
      <c r="N67">
        <v>450</v>
      </c>
      <c r="O67" s="5" t="str">
        <f t="shared" si="1"/>
        <v>černá_sklo_ne_89_450</v>
      </c>
      <c r="P67" s="3" t="s">
        <v>198</v>
      </c>
      <c r="Q67" t="str">
        <f t="shared" si="2"/>
        <v>K-StrongMax 18 89/450mm 40kg, černá</v>
      </c>
    </row>
    <row r="68" spans="2:17">
      <c r="B68" t="str">
        <f t="shared" ref="B68:B100" si="3">IF($D$1=1,D:D,IF($D$1=2,E:E,IF($D$1=3,F:F,IF($D$1=4,G:G,IF($D$1&gt;4,H:H)))))</f>
        <v>K-StrongMax 18 89/500mm 40kg, černá</v>
      </c>
      <c r="C68" s="3" t="s">
        <v>199</v>
      </c>
      <c r="D68" s="3" t="s">
        <v>103</v>
      </c>
      <c r="E68" s="3" t="s">
        <v>296</v>
      </c>
      <c r="F68" s="3" t="s">
        <v>392</v>
      </c>
      <c r="G68" s="3" t="s">
        <v>467</v>
      </c>
      <c r="H68" s="3" t="s">
        <v>542</v>
      </c>
      <c r="I68" s="3" t="s">
        <v>35</v>
      </c>
      <c r="K68">
        <v>89</v>
      </c>
      <c r="L68" s="36" t="str">
        <f>Překlady!$C$32</f>
        <v>černá</v>
      </c>
      <c r="M68" t="s">
        <v>26</v>
      </c>
      <c r="N68">
        <v>500</v>
      </c>
      <c r="O68" s="5" t="str">
        <f t="shared" ref="O68:O98" si="4">_xlfn.CONCAT(L68,"_sklo_",M68,"_",K68,"_",N68)</f>
        <v>černá_sklo_ne_89_500</v>
      </c>
      <c r="P68" s="3" t="s">
        <v>199</v>
      </c>
      <c r="Q68" t="str">
        <f t="shared" ref="Q68:Q98" si="5">B68</f>
        <v>K-StrongMax 18 89/500mm 40kg, černá</v>
      </c>
    </row>
    <row r="69" spans="2:17">
      <c r="B69" t="str">
        <f t="shared" si="3"/>
        <v>K-StrongMax 18 121/450mm 40kg, černá</v>
      </c>
      <c r="C69" s="3" t="s">
        <v>200</v>
      </c>
      <c r="D69" s="3" t="s">
        <v>104</v>
      </c>
      <c r="E69" s="3" t="s">
        <v>297</v>
      </c>
      <c r="F69" s="3" t="s">
        <v>393</v>
      </c>
      <c r="G69" s="3" t="s">
        <v>468</v>
      </c>
      <c r="H69" s="3" t="s">
        <v>543</v>
      </c>
      <c r="I69" s="3" t="s">
        <v>37</v>
      </c>
      <c r="K69">
        <v>121</v>
      </c>
      <c r="L69" s="36" t="str">
        <f>Překlady!$C$32</f>
        <v>černá</v>
      </c>
      <c r="M69" t="s">
        <v>26</v>
      </c>
      <c r="N69">
        <v>450</v>
      </c>
      <c r="O69" s="5" t="str">
        <f t="shared" si="4"/>
        <v>černá_sklo_ne_121_450</v>
      </c>
      <c r="P69" s="3" t="s">
        <v>200</v>
      </c>
      <c r="Q69" t="str">
        <f t="shared" si="5"/>
        <v>K-StrongMax 18 121/450mm 40kg, černá</v>
      </c>
    </row>
    <row r="70" spans="2:17">
      <c r="B70" t="str">
        <f t="shared" si="3"/>
        <v>K-StrongMax 18 121/500mm 40kg, černá</v>
      </c>
      <c r="C70" s="3" t="s">
        <v>201</v>
      </c>
      <c r="D70" s="3" t="s">
        <v>105</v>
      </c>
      <c r="E70" s="3" t="s">
        <v>298</v>
      </c>
      <c r="F70" s="3" t="s">
        <v>394</v>
      </c>
      <c r="G70" s="3" t="s">
        <v>469</v>
      </c>
      <c r="H70" s="3" t="s">
        <v>544</v>
      </c>
      <c r="I70" s="3" t="s">
        <v>35</v>
      </c>
      <c r="K70">
        <v>121</v>
      </c>
      <c r="L70" s="36" t="str">
        <f>Překlady!$C$32</f>
        <v>černá</v>
      </c>
      <c r="M70" t="s">
        <v>26</v>
      </c>
      <c r="N70">
        <v>500</v>
      </c>
      <c r="O70" s="5" t="str">
        <f t="shared" si="4"/>
        <v>černá_sklo_ne_121_500</v>
      </c>
      <c r="P70" s="3" t="s">
        <v>201</v>
      </c>
      <c r="Q70" t="str">
        <f t="shared" si="5"/>
        <v>K-StrongMax 18 121/500mm 40kg, černá</v>
      </c>
    </row>
    <row r="71" spans="2:17">
      <c r="B71" t="str">
        <f t="shared" si="3"/>
        <v>K-StrongMax 18 185/450mm 40kg, černá</v>
      </c>
      <c r="C71" s="3" t="s">
        <v>202</v>
      </c>
      <c r="D71" s="3" t="s">
        <v>106</v>
      </c>
      <c r="E71" s="3" t="s">
        <v>299</v>
      </c>
      <c r="F71" s="3" t="s">
        <v>395</v>
      </c>
      <c r="G71" s="3" t="s">
        <v>470</v>
      </c>
      <c r="H71" s="3" t="s">
        <v>545</v>
      </c>
      <c r="I71" s="3" t="s">
        <v>35</v>
      </c>
      <c r="K71">
        <v>185</v>
      </c>
      <c r="L71" s="36" t="str">
        <f>Překlady!$C$32</f>
        <v>černá</v>
      </c>
      <c r="M71" t="s">
        <v>26</v>
      </c>
      <c r="N71">
        <v>450</v>
      </c>
      <c r="O71" s="5" t="str">
        <f t="shared" si="4"/>
        <v>černá_sklo_ne_185_450</v>
      </c>
      <c r="P71" s="3" t="s">
        <v>202</v>
      </c>
      <c r="Q71" t="str">
        <f t="shared" si="5"/>
        <v>K-StrongMax 18 185/450mm 40kg, černá</v>
      </c>
    </row>
    <row r="72" spans="2:17">
      <c r="B72" t="str">
        <f t="shared" si="3"/>
        <v>K-StrongMax 18 185/500mm 40kg, černá</v>
      </c>
      <c r="C72" s="3" t="s">
        <v>203</v>
      </c>
      <c r="D72" s="3" t="s">
        <v>107</v>
      </c>
      <c r="E72" s="3" t="s">
        <v>300</v>
      </c>
      <c r="F72" s="3" t="s">
        <v>396</v>
      </c>
      <c r="G72" s="3" t="s">
        <v>471</v>
      </c>
      <c r="H72" s="3" t="s">
        <v>546</v>
      </c>
      <c r="I72" s="3" t="s">
        <v>35</v>
      </c>
      <c r="K72">
        <v>185</v>
      </c>
      <c r="L72" s="36" t="str">
        <f>Překlady!$C$32</f>
        <v>černá</v>
      </c>
      <c r="M72" t="s">
        <v>26</v>
      </c>
      <c r="N72">
        <v>500</v>
      </c>
      <c r="O72" s="5" t="str">
        <f t="shared" si="4"/>
        <v>černá_sklo_ne_185_500</v>
      </c>
      <c r="P72" s="3" t="s">
        <v>203</v>
      </c>
      <c r="Q72" t="str">
        <f t="shared" si="5"/>
        <v>K-StrongMax 18 185/500mm 40kg, černá</v>
      </c>
    </row>
    <row r="73" spans="2:17">
      <c r="B73" t="str">
        <f t="shared" si="3"/>
        <v>K-StrongMax 18 249/450mm 40kg, černá</v>
      </c>
      <c r="C73" s="3" t="s">
        <v>204</v>
      </c>
      <c r="D73" s="3" t="s">
        <v>108</v>
      </c>
      <c r="E73" s="3" t="s">
        <v>301</v>
      </c>
      <c r="F73" s="3" t="s">
        <v>397</v>
      </c>
      <c r="G73" s="3" t="s">
        <v>472</v>
      </c>
      <c r="H73" s="3" t="s">
        <v>547</v>
      </c>
      <c r="I73" s="3" t="s">
        <v>37</v>
      </c>
      <c r="K73">
        <v>249</v>
      </c>
      <c r="L73" s="36" t="str">
        <f>Překlady!$C$32</f>
        <v>černá</v>
      </c>
      <c r="M73" t="s">
        <v>26</v>
      </c>
      <c r="N73">
        <v>450</v>
      </c>
      <c r="O73" s="5" t="str">
        <f t="shared" si="4"/>
        <v>černá_sklo_ne_249_450</v>
      </c>
      <c r="P73" s="3" t="s">
        <v>204</v>
      </c>
      <c r="Q73" t="str">
        <f t="shared" si="5"/>
        <v>K-StrongMax 18 249/450mm 40kg, černá</v>
      </c>
    </row>
    <row r="74" spans="2:17">
      <c r="B74" t="str">
        <f t="shared" si="3"/>
        <v>K-StrongMax 18 249/500mm 40kg, černá</v>
      </c>
      <c r="C74" s="3" t="s">
        <v>205</v>
      </c>
      <c r="D74" s="3" t="s">
        <v>109</v>
      </c>
      <c r="E74" s="3" t="s">
        <v>302</v>
      </c>
      <c r="F74" s="3" t="s">
        <v>398</v>
      </c>
      <c r="G74" s="3" t="s">
        <v>473</v>
      </c>
      <c r="H74" s="3" t="s">
        <v>548</v>
      </c>
      <c r="I74" s="3" t="s">
        <v>35</v>
      </c>
      <c r="K74">
        <v>249</v>
      </c>
      <c r="L74" s="36" t="str">
        <f>Překlady!$C$32</f>
        <v>černá</v>
      </c>
      <c r="M74" t="s">
        <v>26</v>
      </c>
      <c r="N74">
        <v>500</v>
      </c>
      <c r="O74" s="5" t="str">
        <f t="shared" si="4"/>
        <v>černá_sklo_ne_249_500</v>
      </c>
      <c r="P74" s="3" t="s">
        <v>205</v>
      </c>
      <c r="Q74" t="str">
        <f t="shared" si="5"/>
        <v>K-StrongMax 18 249/500mm 40kg, černá</v>
      </c>
    </row>
    <row r="75" spans="2:17">
      <c r="B75" t="str">
        <f t="shared" si="3"/>
        <v>K-StrongMax 18 185/450mm 40kg, prosklené bočnice, černá</v>
      </c>
      <c r="C75" s="3" t="s">
        <v>206</v>
      </c>
      <c r="D75" s="3" t="s">
        <v>110</v>
      </c>
      <c r="E75" s="3" t="s">
        <v>303</v>
      </c>
      <c r="F75" s="3" t="s">
        <v>399</v>
      </c>
      <c r="G75" s="3" t="s">
        <v>474</v>
      </c>
      <c r="H75" s="3" t="s">
        <v>549</v>
      </c>
      <c r="I75" s="3" t="s">
        <v>37</v>
      </c>
      <c r="K75">
        <v>185</v>
      </c>
      <c r="L75" s="36" t="str">
        <f>Překlady!$C$32</f>
        <v>černá</v>
      </c>
      <c r="M75" t="s">
        <v>24</v>
      </c>
      <c r="N75">
        <v>450</v>
      </c>
      <c r="O75" s="5" t="str">
        <f t="shared" si="4"/>
        <v>černá_sklo_ano_185_450</v>
      </c>
      <c r="P75" s="3" t="s">
        <v>206</v>
      </c>
      <c r="Q75" t="str">
        <f t="shared" si="5"/>
        <v>K-StrongMax 18 185/450mm 40kg, prosklené bočnice, černá</v>
      </c>
    </row>
    <row r="76" spans="2:17">
      <c r="B76" t="str">
        <f t="shared" si="3"/>
        <v>K-StrongMax 18 185/500mm 40kg, prosklené bočnice, černá</v>
      </c>
      <c r="C76" s="3" t="s">
        <v>207</v>
      </c>
      <c r="D76" s="3" t="s">
        <v>111</v>
      </c>
      <c r="E76" s="3" t="s">
        <v>304</v>
      </c>
      <c r="F76" s="3" t="s">
        <v>400</v>
      </c>
      <c r="G76" s="3" t="s">
        <v>475</v>
      </c>
      <c r="H76" s="3" t="s">
        <v>550</v>
      </c>
      <c r="I76" s="3" t="s">
        <v>37</v>
      </c>
      <c r="K76">
        <v>185</v>
      </c>
      <c r="L76" s="36" t="str">
        <f>Překlady!$C$32</f>
        <v>černá</v>
      </c>
      <c r="M76" t="s">
        <v>24</v>
      </c>
      <c r="N76">
        <v>500</v>
      </c>
      <c r="O76" s="5" t="str">
        <f t="shared" si="4"/>
        <v>černá_sklo_ano_185_500</v>
      </c>
      <c r="P76" s="3" t="s">
        <v>207</v>
      </c>
      <c r="Q76" t="str">
        <f t="shared" si="5"/>
        <v>K-StrongMax 18 185/500mm 40kg, prosklené bočnice, černá</v>
      </c>
    </row>
    <row r="77" spans="2:17">
      <c r="B77" t="str">
        <f t="shared" si="3"/>
        <v>K-StrongMax 18 121/300mm 40kg, černá</v>
      </c>
      <c r="C77" s="3" t="s">
        <v>208</v>
      </c>
      <c r="D77" s="3" t="s">
        <v>112</v>
      </c>
      <c r="E77" s="3" t="s">
        <v>305</v>
      </c>
      <c r="F77" s="3" t="s">
        <v>401</v>
      </c>
      <c r="G77" s="3" t="s">
        <v>401</v>
      </c>
      <c r="H77" s="3" t="s">
        <v>551</v>
      </c>
      <c r="I77" s="3" t="s">
        <v>37</v>
      </c>
      <c r="K77">
        <v>121</v>
      </c>
      <c r="L77" s="36" t="str">
        <f>Překlady!$C$32</f>
        <v>černá</v>
      </c>
      <c r="M77" t="s">
        <v>26</v>
      </c>
      <c r="N77">
        <v>300</v>
      </c>
      <c r="O77" s="5" t="str">
        <f t="shared" si="4"/>
        <v>černá_sklo_ne_121_300</v>
      </c>
      <c r="P77" s="3" t="s">
        <v>208</v>
      </c>
      <c r="Q77" t="str">
        <f t="shared" si="5"/>
        <v>K-StrongMax 18 121/300mm 40kg, černá</v>
      </c>
    </row>
    <row r="78" spans="2:17">
      <c r="B78" t="str">
        <f t="shared" si="3"/>
        <v>K-StrongMax 18 121/350mm 40kg, černá</v>
      </c>
      <c r="C78" s="3" t="s">
        <v>209</v>
      </c>
      <c r="D78" s="3" t="s">
        <v>113</v>
      </c>
      <c r="E78" s="3" t="s">
        <v>306</v>
      </c>
      <c r="F78" s="3" t="s">
        <v>401</v>
      </c>
      <c r="G78" s="3" t="s">
        <v>401</v>
      </c>
      <c r="H78" s="3" t="s">
        <v>552</v>
      </c>
      <c r="I78" s="3" t="s">
        <v>37</v>
      </c>
      <c r="K78">
        <v>121</v>
      </c>
      <c r="L78" s="36" t="str">
        <f>Překlady!$C$32</f>
        <v>černá</v>
      </c>
      <c r="M78" t="s">
        <v>26</v>
      </c>
      <c r="N78">
        <v>350</v>
      </c>
      <c r="O78" s="5" t="str">
        <f t="shared" si="4"/>
        <v>černá_sklo_ne_121_350</v>
      </c>
      <c r="P78" s="3" t="s">
        <v>209</v>
      </c>
      <c r="Q78" t="str">
        <f t="shared" si="5"/>
        <v>K-StrongMax 18 121/350mm 40kg, černá</v>
      </c>
    </row>
    <row r="79" spans="2:17">
      <c r="B79" t="str">
        <f t="shared" si="3"/>
        <v>K-StrongMax 18 121/400mm 40kg, černá</v>
      </c>
      <c r="C79" s="3" t="s">
        <v>210</v>
      </c>
      <c r="D79" s="3" t="s">
        <v>114</v>
      </c>
      <c r="E79" s="3" t="s">
        <v>307</v>
      </c>
      <c r="F79" s="3" t="s">
        <v>401</v>
      </c>
      <c r="G79" s="3" t="s">
        <v>401</v>
      </c>
      <c r="H79" s="3" t="s">
        <v>553</v>
      </c>
      <c r="I79" s="3" t="s">
        <v>37</v>
      </c>
      <c r="K79">
        <v>121</v>
      </c>
      <c r="L79" s="36" t="str">
        <f>Překlady!$C$32</f>
        <v>černá</v>
      </c>
      <c r="M79" t="s">
        <v>26</v>
      </c>
      <c r="N79">
        <v>400</v>
      </c>
      <c r="O79" s="5" t="str">
        <f t="shared" si="4"/>
        <v>černá_sklo_ne_121_400</v>
      </c>
      <c r="P79" s="3" t="s">
        <v>210</v>
      </c>
      <c r="Q79" t="str">
        <f t="shared" si="5"/>
        <v>K-StrongMax 18 121/400mm 40kg, černá</v>
      </c>
    </row>
    <row r="80" spans="2:17">
      <c r="B80" t="str">
        <f t="shared" si="3"/>
        <v>K-StrongMax 18 121/550mm 40kg, černá</v>
      </c>
      <c r="C80" s="3" t="s">
        <v>211</v>
      </c>
      <c r="D80" s="3" t="s">
        <v>115</v>
      </c>
      <c r="E80" s="3" t="s">
        <v>308</v>
      </c>
      <c r="F80" s="3" t="s">
        <v>401</v>
      </c>
      <c r="G80" s="3" t="s">
        <v>401</v>
      </c>
      <c r="H80" s="3" t="s">
        <v>554</v>
      </c>
      <c r="I80" s="3" t="s">
        <v>37</v>
      </c>
      <c r="K80">
        <v>121</v>
      </c>
      <c r="L80" s="36" t="str">
        <f>Překlady!$C$32</f>
        <v>černá</v>
      </c>
      <c r="M80" t="s">
        <v>26</v>
      </c>
      <c r="N80">
        <v>550</v>
      </c>
      <c r="O80" s="5" t="str">
        <f t="shared" si="4"/>
        <v>černá_sklo_ne_121_550</v>
      </c>
      <c r="P80" s="3" t="s">
        <v>211</v>
      </c>
      <c r="Q80" t="str">
        <f t="shared" si="5"/>
        <v>K-StrongMax 18 121/550mm 40kg, černá</v>
      </c>
    </row>
    <row r="81" spans="2:17">
      <c r="B81" t="str">
        <f t="shared" si="3"/>
        <v>K-StrongMax 18 121/600mm 40kg, černá</v>
      </c>
      <c r="C81" s="3" t="s">
        <v>212</v>
      </c>
      <c r="D81" s="3" t="s">
        <v>116</v>
      </c>
      <c r="E81" s="3" t="s">
        <v>309</v>
      </c>
      <c r="F81" s="3" t="s">
        <v>401</v>
      </c>
      <c r="G81" s="3" t="s">
        <v>401</v>
      </c>
      <c r="H81" s="3" t="s">
        <v>555</v>
      </c>
      <c r="I81" s="3" t="s">
        <v>37</v>
      </c>
      <c r="K81">
        <v>121</v>
      </c>
      <c r="L81" s="36" t="str">
        <f>Překlady!$C$32</f>
        <v>černá</v>
      </c>
      <c r="M81" t="s">
        <v>26</v>
      </c>
      <c r="N81">
        <v>600</v>
      </c>
      <c r="O81" s="5" t="str">
        <f t="shared" si="4"/>
        <v>černá_sklo_ne_121_600</v>
      </c>
      <c r="P81" s="3" t="s">
        <v>212</v>
      </c>
      <c r="Q81" t="str">
        <f t="shared" si="5"/>
        <v>K-StrongMax 18 121/600mm 40kg, černá</v>
      </c>
    </row>
    <row r="82" spans="2:17">
      <c r="B82" t="str">
        <f t="shared" si="3"/>
        <v>K-StrongMax 18 121/650mm 40kg, černá</v>
      </c>
      <c r="C82" s="3" t="s">
        <v>213</v>
      </c>
      <c r="D82" s="3" t="s">
        <v>117</v>
      </c>
      <c r="E82" s="3" t="s">
        <v>310</v>
      </c>
      <c r="F82" s="3" t="s">
        <v>401</v>
      </c>
      <c r="G82" s="3" t="s">
        <v>401</v>
      </c>
      <c r="H82" s="3" t="s">
        <v>556</v>
      </c>
      <c r="I82" s="3" t="s">
        <v>37</v>
      </c>
      <c r="K82">
        <v>121</v>
      </c>
      <c r="L82" s="36" t="str">
        <f>Překlady!$C$32</f>
        <v>černá</v>
      </c>
      <c r="M82" t="s">
        <v>26</v>
      </c>
      <c r="N82">
        <v>650</v>
      </c>
      <c r="O82" s="5" t="str">
        <f t="shared" si="4"/>
        <v>černá_sklo_ne_121_650</v>
      </c>
      <c r="P82" s="3" t="s">
        <v>213</v>
      </c>
      <c r="Q82" t="str">
        <f t="shared" si="5"/>
        <v>K-StrongMax 18 121/650mm 40kg, černá</v>
      </c>
    </row>
    <row r="83" spans="2:17">
      <c r="B83" t="str">
        <f t="shared" si="3"/>
        <v>K-StrongMax 18 185/300mm 40kg, černá</v>
      </c>
      <c r="C83" s="3" t="s">
        <v>214</v>
      </c>
      <c r="D83" s="3" t="s">
        <v>118</v>
      </c>
      <c r="E83" s="3" t="s">
        <v>311</v>
      </c>
      <c r="F83" s="3" t="s">
        <v>401</v>
      </c>
      <c r="G83" s="3" t="s">
        <v>401</v>
      </c>
      <c r="H83" s="3" t="s">
        <v>557</v>
      </c>
      <c r="I83" s="3" t="s">
        <v>37</v>
      </c>
      <c r="K83">
        <v>185</v>
      </c>
      <c r="L83" s="36" t="str">
        <f>Překlady!$C$32</f>
        <v>černá</v>
      </c>
      <c r="M83" t="s">
        <v>26</v>
      </c>
      <c r="N83">
        <v>300</v>
      </c>
      <c r="O83" s="5" t="str">
        <f t="shared" si="4"/>
        <v>černá_sklo_ne_185_300</v>
      </c>
      <c r="P83" s="3" t="s">
        <v>214</v>
      </c>
      <c r="Q83" t="str">
        <f t="shared" si="5"/>
        <v>K-StrongMax 18 185/300mm 40kg, černá</v>
      </c>
    </row>
    <row r="84" spans="2:17">
      <c r="B84" t="str">
        <f t="shared" si="3"/>
        <v>K-StrongMax 18 185/350mm 40kg, černá</v>
      </c>
      <c r="C84" s="3" t="s">
        <v>215</v>
      </c>
      <c r="D84" s="3" t="s">
        <v>36</v>
      </c>
      <c r="E84" s="3" t="s">
        <v>230</v>
      </c>
      <c r="F84" s="3" t="s">
        <v>401</v>
      </c>
      <c r="G84" s="3" t="s">
        <v>401</v>
      </c>
      <c r="H84" s="3" t="s">
        <v>476</v>
      </c>
      <c r="I84" s="3" t="s">
        <v>37</v>
      </c>
      <c r="K84">
        <v>185</v>
      </c>
      <c r="L84" s="36" t="str">
        <f>Překlady!$C$32</f>
        <v>černá</v>
      </c>
      <c r="M84" t="s">
        <v>26</v>
      </c>
      <c r="N84">
        <v>350</v>
      </c>
      <c r="O84" s="5" t="str">
        <f t="shared" si="4"/>
        <v>černá_sklo_ne_185_350</v>
      </c>
      <c r="P84" s="3" t="s">
        <v>215</v>
      </c>
      <c r="Q84" t="str">
        <f t="shared" si="5"/>
        <v>K-StrongMax 18 185/350mm 40kg, černá</v>
      </c>
    </row>
    <row r="85" spans="2:17">
      <c r="B85" t="str">
        <f t="shared" si="3"/>
        <v>K-StrongMax 18 185/400mm 40kg, černá</v>
      </c>
      <c r="C85" s="3" t="s">
        <v>216</v>
      </c>
      <c r="D85" s="3" t="s">
        <v>119</v>
      </c>
      <c r="E85" s="3" t="s">
        <v>312</v>
      </c>
      <c r="F85" s="3" t="s">
        <v>401</v>
      </c>
      <c r="G85" s="3" t="s">
        <v>401</v>
      </c>
      <c r="H85" s="3" t="s">
        <v>558</v>
      </c>
      <c r="I85" s="3" t="s">
        <v>37</v>
      </c>
      <c r="K85">
        <v>185</v>
      </c>
      <c r="L85" s="36" t="str">
        <f>Překlady!$C$32</f>
        <v>černá</v>
      </c>
      <c r="M85" t="s">
        <v>26</v>
      </c>
      <c r="N85">
        <v>400</v>
      </c>
      <c r="O85" s="5" t="str">
        <f t="shared" si="4"/>
        <v>černá_sklo_ne_185_400</v>
      </c>
      <c r="P85" s="3" t="s">
        <v>216</v>
      </c>
      <c r="Q85" t="str">
        <f t="shared" si="5"/>
        <v>K-StrongMax 18 185/400mm 40kg, černá</v>
      </c>
    </row>
    <row r="86" spans="2:17">
      <c r="B86" t="str">
        <f t="shared" si="3"/>
        <v>K-StrongMax 18 185/550mm 40kg, černá</v>
      </c>
      <c r="C86" s="3" t="s">
        <v>217</v>
      </c>
      <c r="D86" s="3" t="s">
        <v>120</v>
      </c>
      <c r="E86" s="3" t="s">
        <v>313</v>
      </c>
      <c r="F86" s="3" t="s">
        <v>401</v>
      </c>
      <c r="G86" s="3" t="s">
        <v>401</v>
      </c>
      <c r="H86" s="3" t="s">
        <v>559</v>
      </c>
      <c r="I86" s="3" t="s">
        <v>37</v>
      </c>
      <c r="K86">
        <v>185</v>
      </c>
      <c r="L86" s="36" t="str">
        <f>Překlady!$C$32</f>
        <v>černá</v>
      </c>
      <c r="M86" t="s">
        <v>26</v>
      </c>
      <c r="N86">
        <v>550</v>
      </c>
      <c r="O86" s="5" t="str">
        <f t="shared" si="4"/>
        <v>černá_sklo_ne_185_550</v>
      </c>
      <c r="P86" s="3" t="s">
        <v>217</v>
      </c>
      <c r="Q86" t="str">
        <f t="shared" si="5"/>
        <v>K-StrongMax 18 185/550mm 40kg, černá</v>
      </c>
    </row>
    <row r="87" spans="2:17">
      <c r="B87" t="str">
        <f t="shared" si="3"/>
        <v>K-StrongMax 18 185/550mm 40kg, prosklené bočnice, černá</v>
      </c>
      <c r="C87" s="3" t="s">
        <v>218</v>
      </c>
      <c r="D87" s="3" t="s">
        <v>121</v>
      </c>
      <c r="E87" s="3" t="s">
        <v>314</v>
      </c>
      <c r="F87" s="3" t="s">
        <v>401</v>
      </c>
      <c r="G87" s="3" t="s">
        <v>401</v>
      </c>
      <c r="H87" s="3" t="s">
        <v>560</v>
      </c>
      <c r="I87" s="3" t="s">
        <v>37</v>
      </c>
      <c r="K87">
        <v>185</v>
      </c>
      <c r="L87" s="36" t="str">
        <f>Překlady!$C$32</f>
        <v>černá</v>
      </c>
      <c r="M87" t="s">
        <v>24</v>
      </c>
      <c r="N87">
        <v>550</v>
      </c>
      <c r="O87" s="5" t="str">
        <f t="shared" si="4"/>
        <v>černá_sklo_ano_185_550</v>
      </c>
      <c r="P87" s="3" t="s">
        <v>218</v>
      </c>
      <c r="Q87" t="str">
        <f t="shared" si="5"/>
        <v>K-StrongMax 18 185/550mm 40kg, prosklené bočnice, černá</v>
      </c>
    </row>
    <row r="88" spans="2:17">
      <c r="B88" t="str">
        <f t="shared" si="3"/>
        <v>K-StrongMax 18 185/600mm 40kg, černá</v>
      </c>
      <c r="C88" s="3" t="s">
        <v>219</v>
      </c>
      <c r="D88" s="3" t="s">
        <v>122</v>
      </c>
      <c r="E88" s="3" t="s">
        <v>315</v>
      </c>
      <c r="F88" s="3" t="s">
        <v>401</v>
      </c>
      <c r="G88" s="3" t="s">
        <v>401</v>
      </c>
      <c r="H88" s="3" t="s">
        <v>561</v>
      </c>
      <c r="I88" s="3" t="s">
        <v>37</v>
      </c>
      <c r="K88">
        <v>185</v>
      </c>
      <c r="L88" s="36" t="str">
        <f>Překlady!$C$32</f>
        <v>černá</v>
      </c>
      <c r="M88" t="s">
        <v>26</v>
      </c>
      <c r="N88">
        <v>600</v>
      </c>
      <c r="O88" s="5" t="str">
        <f t="shared" si="4"/>
        <v>černá_sklo_ne_185_600</v>
      </c>
      <c r="P88" s="3" t="s">
        <v>219</v>
      </c>
      <c r="Q88" t="str">
        <f t="shared" si="5"/>
        <v>K-StrongMax 18 185/600mm 40kg, černá</v>
      </c>
    </row>
    <row r="89" spans="2:17">
      <c r="B89" t="str">
        <f t="shared" si="3"/>
        <v>K-StrongMax 18 185/650mm 40kg, černá</v>
      </c>
      <c r="C89" s="3" t="s">
        <v>220</v>
      </c>
      <c r="D89" s="3" t="s">
        <v>123</v>
      </c>
      <c r="E89" s="3" t="s">
        <v>316</v>
      </c>
      <c r="F89" s="3" t="s">
        <v>401</v>
      </c>
      <c r="G89" s="3" t="s">
        <v>401</v>
      </c>
      <c r="H89" s="3" t="s">
        <v>562</v>
      </c>
      <c r="I89" s="3" t="s">
        <v>37</v>
      </c>
      <c r="K89">
        <v>185</v>
      </c>
      <c r="L89" s="36" t="str">
        <f>Překlady!$C$32</f>
        <v>černá</v>
      </c>
      <c r="M89" t="s">
        <v>26</v>
      </c>
      <c r="N89">
        <v>650</v>
      </c>
      <c r="O89" s="5" t="str">
        <f t="shared" si="4"/>
        <v>černá_sklo_ne_185_650</v>
      </c>
      <c r="P89" s="3" t="s">
        <v>220</v>
      </c>
      <c r="Q89" t="str">
        <f t="shared" si="5"/>
        <v>K-StrongMax 18 185/650mm 40kg, černá</v>
      </c>
    </row>
    <row r="90" spans="2:17">
      <c r="B90" t="str">
        <f t="shared" si="3"/>
        <v>K-StrongMax 18 249/550mm 40kg, černá</v>
      </c>
      <c r="C90" s="3" t="s">
        <v>221</v>
      </c>
      <c r="D90" s="3" t="s">
        <v>124</v>
      </c>
      <c r="E90" s="3" t="s">
        <v>317</v>
      </c>
      <c r="F90" s="3" t="s">
        <v>401</v>
      </c>
      <c r="G90" s="3" t="s">
        <v>401</v>
      </c>
      <c r="H90" s="3" t="s">
        <v>563</v>
      </c>
      <c r="I90" s="3" t="s">
        <v>37</v>
      </c>
      <c r="K90">
        <v>249</v>
      </c>
      <c r="L90" s="36" t="str">
        <f>Překlady!$C$32</f>
        <v>černá</v>
      </c>
      <c r="M90" t="s">
        <v>26</v>
      </c>
      <c r="N90">
        <v>550</v>
      </c>
      <c r="O90" s="5" t="str">
        <f t="shared" si="4"/>
        <v>černá_sklo_ne_249_550</v>
      </c>
      <c r="P90" s="3" t="s">
        <v>221</v>
      </c>
      <c r="Q90" t="str">
        <f t="shared" si="5"/>
        <v>K-StrongMax 18 249/550mm 40kg, černá</v>
      </c>
    </row>
    <row r="91" spans="2:17">
      <c r="B91" t="str">
        <f t="shared" si="3"/>
        <v>K-StrongMax 18 249/600mm 40kg, černá</v>
      </c>
      <c r="C91" s="3" t="s">
        <v>222</v>
      </c>
      <c r="D91" s="3" t="s">
        <v>125</v>
      </c>
      <c r="E91" s="3" t="s">
        <v>318</v>
      </c>
      <c r="F91" s="3" t="s">
        <v>401</v>
      </c>
      <c r="G91" s="3" t="s">
        <v>401</v>
      </c>
      <c r="H91" s="3" t="s">
        <v>564</v>
      </c>
      <c r="I91" s="3" t="s">
        <v>37</v>
      </c>
      <c r="K91">
        <v>249</v>
      </c>
      <c r="L91" s="36" t="str">
        <f>Překlady!$C$32</f>
        <v>černá</v>
      </c>
      <c r="M91" t="s">
        <v>26</v>
      </c>
      <c r="N91">
        <v>600</v>
      </c>
      <c r="O91" s="5" t="str">
        <f t="shared" si="4"/>
        <v>černá_sklo_ne_249_600</v>
      </c>
      <c r="P91" s="3" t="s">
        <v>222</v>
      </c>
      <c r="Q91" t="str">
        <f t="shared" si="5"/>
        <v>K-StrongMax 18 249/600mm 40kg, černá</v>
      </c>
    </row>
    <row r="92" spans="2:17">
      <c r="B92" t="str">
        <f t="shared" si="3"/>
        <v>K-StrongMax 18 249/650mm 40kg, černá</v>
      </c>
      <c r="C92" s="3" t="s">
        <v>223</v>
      </c>
      <c r="D92" s="3" t="s">
        <v>126</v>
      </c>
      <c r="E92" s="3" t="s">
        <v>319</v>
      </c>
      <c r="F92" s="3" t="s">
        <v>401</v>
      </c>
      <c r="G92" s="3" t="s">
        <v>401</v>
      </c>
      <c r="H92" s="3" t="s">
        <v>565</v>
      </c>
      <c r="I92" s="3" t="s">
        <v>37</v>
      </c>
      <c r="K92">
        <v>249</v>
      </c>
      <c r="L92" s="36" t="str">
        <f>Překlady!$C$32</f>
        <v>černá</v>
      </c>
      <c r="M92" t="s">
        <v>26</v>
      </c>
      <c r="N92">
        <v>650</v>
      </c>
      <c r="O92" s="5" t="str">
        <f t="shared" si="4"/>
        <v>černá_sklo_ne_249_650</v>
      </c>
      <c r="P92" s="3" t="s">
        <v>223</v>
      </c>
      <c r="Q92" t="str">
        <f t="shared" si="5"/>
        <v>K-StrongMax 18 249/650mm 40kg, černá</v>
      </c>
    </row>
    <row r="93" spans="2:17">
      <c r="B93" t="str">
        <f t="shared" si="3"/>
        <v>K-StrongMax 18 89/300mm 40kg, černá</v>
      </c>
      <c r="C93" s="3" t="s">
        <v>224</v>
      </c>
      <c r="D93" s="3" t="s">
        <v>127</v>
      </c>
      <c r="E93" s="3" t="s">
        <v>320</v>
      </c>
      <c r="F93" s="3" t="s">
        <v>401</v>
      </c>
      <c r="G93" s="3" t="s">
        <v>401</v>
      </c>
      <c r="H93" s="3" t="s">
        <v>566</v>
      </c>
      <c r="I93" s="3" t="s">
        <v>37</v>
      </c>
      <c r="K93">
        <v>89</v>
      </c>
      <c r="L93" s="36" t="str">
        <f>Překlady!$C$32</f>
        <v>černá</v>
      </c>
      <c r="M93" t="s">
        <v>26</v>
      </c>
      <c r="N93">
        <v>300</v>
      </c>
      <c r="O93" s="5" t="str">
        <f t="shared" si="4"/>
        <v>černá_sklo_ne_89_300</v>
      </c>
      <c r="P93" s="3" t="s">
        <v>224</v>
      </c>
      <c r="Q93" t="str">
        <f t="shared" si="5"/>
        <v>K-StrongMax 18 89/300mm 40kg, černá</v>
      </c>
    </row>
    <row r="94" spans="2:17">
      <c r="B94" t="str">
        <f t="shared" si="3"/>
        <v>K-StrongMax 18 89/350mm 40kg, černá</v>
      </c>
      <c r="C94" s="3" t="s">
        <v>225</v>
      </c>
      <c r="D94" s="3" t="s">
        <v>128</v>
      </c>
      <c r="E94" s="3" t="s">
        <v>321</v>
      </c>
      <c r="F94" s="3" t="s">
        <v>401</v>
      </c>
      <c r="G94" s="3" t="s">
        <v>401</v>
      </c>
      <c r="H94" s="3" t="s">
        <v>567</v>
      </c>
      <c r="I94" s="3" t="s">
        <v>37</v>
      </c>
      <c r="K94">
        <v>89</v>
      </c>
      <c r="L94" s="36" t="str">
        <f>Překlady!$C$32</f>
        <v>černá</v>
      </c>
      <c r="M94" t="s">
        <v>26</v>
      </c>
      <c r="N94">
        <v>350</v>
      </c>
      <c r="O94" s="5" t="str">
        <f t="shared" si="4"/>
        <v>černá_sklo_ne_89_350</v>
      </c>
      <c r="P94" s="3" t="s">
        <v>225</v>
      </c>
      <c r="Q94" t="str">
        <f t="shared" si="5"/>
        <v>K-StrongMax 18 89/350mm 40kg, černá</v>
      </c>
    </row>
    <row r="95" spans="2:17">
      <c r="B95" t="str">
        <f t="shared" si="3"/>
        <v>K-StrongMax 18 89/400mm 40kg, černá</v>
      </c>
      <c r="C95" s="3" t="s">
        <v>226</v>
      </c>
      <c r="D95" s="3" t="s">
        <v>129</v>
      </c>
      <c r="E95" s="3" t="s">
        <v>322</v>
      </c>
      <c r="F95" s="3" t="s">
        <v>401</v>
      </c>
      <c r="G95" s="3" t="s">
        <v>401</v>
      </c>
      <c r="H95" s="3" t="s">
        <v>568</v>
      </c>
      <c r="I95" s="3" t="s">
        <v>37</v>
      </c>
      <c r="K95">
        <v>89</v>
      </c>
      <c r="L95" s="36" t="str">
        <f>Překlady!$C$32</f>
        <v>černá</v>
      </c>
      <c r="M95" t="s">
        <v>26</v>
      </c>
      <c r="N95">
        <v>400</v>
      </c>
      <c r="O95" s="5" t="str">
        <f t="shared" si="4"/>
        <v>černá_sklo_ne_89_400</v>
      </c>
      <c r="P95" s="3" t="s">
        <v>226</v>
      </c>
      <c r="Q95" t="str">
        <f t="shared" si="5"/>
        <v>K-StrongMax 18 89/400mm 40kg, černá</v>
      </c>
    </row>
    <row r="96" spans="2:17">
      <c r="B96" t="str">
        <f t="shared" si="3"/>
        <v>K-StrongMax 18 89/550mm 40kg, černá</v>
      </c>
      <c r="C96" s="3" t="s">
        <v>227</v>
      </c>
      <c r="D96" s="3" t="s">
        <v>130</v>
      </c>
      <c r="E96" s="3" t="s">
        <v>323</v>
      </c>
      <c r="F96" s="3" t="s">
        <v>401</v>
      </c>
      <c r="G96" s="3" t="s">
        <v>401</v>
      </c>
      <c r="H96" s="3" t="s">
        <v>569</v>
      </c>
      <c r="I96" s="3" t="s">
        <v>37</v>
      </c>
      <c r="K96">
        <v>89</v>
      </c>
      <c r="L96" s="36" t="str">
        <f>Překlady!$C$32</f>
        <v>černá</v>
      </c>
      <c r="M96" t="s">
        <v>26</v>
      </c>
      <c r="N96">
        <v>550</v>
      </c>
      <c r="O96" s="5" t="str">
        <f t="shared" si="4"/>
        <v>černá_sklo_ne_89_550</v>
      </c>
      <c r="P96" s="3" t="s">
        <v>227</v>
      </c>
      <c r="Q96" t="str">
        <f t="shared" si="5"/>
        <v>K-StrongMax 18 89/550mm 40kg, černá</v>
      </c>
    </row>
    <row r="97" spans="2:17">
      <c r="B97" t="str">
        <f t="shared" si="3"/>
        <v>K-StrongMax 18 89/600mm 40kg, černá</v>
      </c>
      <c r="C97" s="3" t="s">
        <v>228</v>
      </c>
      <c r="D97" s="3" t="s">
        <v>131</v>
      </c>
      <c r="E97" s="3" t="s">
        <v>324</v>
      </c>
      <c r="F97" s="3" t="s">
        <v>401</v>
      </c>
      <c r="G97" s="3" t="s">
        <v>401</v>
      </c>
      <c r="H97" s="3" t="s">
        <v>570</v>
      </c>
      <c r="I97" s="3" t="s">
        <v>37</v>
      </c>
      <c r="K97">
        <v>89</v>
      </c>
      <c r="L97" s="36" t="str">
        <f>Překlady!$C$32</f>
        <v>černá</v>
      </c>
      <c r="M97" t="s">
        <v>26</v>
      </c>
      <c r="N97">
        <v>600</v>
      </c>
      <c r="O97" s="5" t="str">
        <f t="shared" si="4"/>
        <v>černá_sklo_ne_89_600</v>
      </c>
      <c r="P97" s="3" t="s">
        <v>228</v>
      </c>
      <c r="Q97" t="str">
        <f t="shared" si="5"/>
        <v>K-StrongMax 18 89/600mm 40kg, černá</v>
      </c>
    </row>
    <row r="98" spans="2:17">
      <c r="B98" t="str">
        <f t="shared" si="3"/>
        <v>K-StrongMax 18 89/650mm 40kg, černá</v>
      </c>
      <c r="C98" s="3" t="s">
        <v>229</v>
      </c>
      <c r="D98" s="3" t="s">
        <v>132</v>
      </c>
      <c r="E98" s="3" t="s">
        <v>325</v>
      </c>
      <c r="F98" s="3" t="s">
        <v>401</v>
      </c>
      <c r="G98" s="3" t="s">
        <v>401</v>
      </c>
      <c r="H98" s="3" t="s">
        <v>571</v>
      </c>
      <c r="I98" s="3" t="s">
        <v>37</v>
      </c>
      <c r="K98">
        <v>89</v>
      </c>
      <c r="L98" s="36" t="str">
        <f>Překlady!$C$32</f>
        <v>černá</v>
      </c>
      <c r="M98" t="s">
        <v>26</v>
      </c>
      <c r="N98">
        <v>650</v>
      </c>
      <c r="O98" s="5" t="str">
        <f t="shared" si="4"/>
        <v>černá_sklo_ne_89_650</v>
      </c>
      <c r="P98" s="3" t="s">
        <v>229</v>
      </c>
      <c r="Q98" t="str">
        <f t="shared" si="5"/>
        <v>K-StrongMax 18 89/650mm 40kg, černá</v>
      </c>
    </row>
    <row r="99" spans="2:17">
      <c r="B99" t="str">
        <f t="shared" si="3"/>
        <v>STRONG označovací šablona pro výsuvy nerezová</v>
      </c>
      <c r="C99">
        <v>396273</v>
      </c>
      <c r="D99" t="s">
        <v>712</v>
      </c>
      <c r="E99" t="s">
        <v>713</v>
      </c>
      <c r="F99" t="s">
        <v>714</v>
      </c>
      <c r="G99" t="s">
        <v>715</v>
      </c>
      <c r="H99" t="s">
        <v>716</v>
      </c>
    </row>
    <row r="100" spans="2:17">
      <c r="B100" t="str">
        <f t="shared" si="3"/>
        <v>StrongBox označovač čela - sada P+L</v>
      </c>
      <c r="C100">
        <v>179242</v>
      </c>
      <c r="D100" t="s">
        <v>717</v>
      </c>
      <c r="E100" t="s">
        <v>717</v>
      </c>
      <c r="F100" t="s">
        <v>718</v>
      </c>
      <c r="G100" t="s">
        <v>719</v>
      </c>
      <c r="H100" t="s">
        <v>720</v>
      </c>
    </row>
  </sheetData>
  <autoFilter ref="K2:Q98" xr:uid="{A6948DF1-249B-4F57-85A8-C987E8218659}"/>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DAFB-43A2-42FC-A49C-5558E1CD8943}">
  <sheetPr codeName="List6"/>
  <dimension ref="A1"/>
  <sheetViews>
    <sheetView workbookViewId="0">
      <selection activeCell="H7" sqref="H7"/>
    </sheetView>
  </sheetViews>
  <sheetFormatPr defaultRowHeight="14.4"/>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5</vt:i4>
      </vt:variant>
    </vt:vector>
  </HeadingPairs>
  <TitlesOfParts>
    <vt:vector size="15" baseType="lpstr">
      <vt:lpstr>Úvod</vt:lpstr>
      <vt:lpstr>vlajky</vt:lpstr>
      <vt:lpstr>Zakaznik</vt:lpstr>
      <vt:lpstr>Menu</vt:lpstr>
      <vt:lpstr>Překlady</vt:lpstr>
      <vt:lpstr>čelo</vt:lpstr>
      <vt:lpstr>nákresy</vt:lpstr>
      <vt:lpstr>Karty</vt:lpstr>
      <vt:lpstr>vnitřní</vt:lpstr>
      <vt:lpstr>výška bočnic</vt:lpstr>
      <vt:lpstr>ČTYŘI_VÝŠKY</vt:lpstr>
      <vt:lpstr>DVĚ_VÝŠKY</vt:lpstr>
      <vt:lpstr>JEDNA_VÝŠKA</vt:lpstr>
      <vt:lpstr>čelo!Oblast_tisku</vt:lpstr>
      <vt:lpstr>TŘI_VÝŠKY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Slaběňák Jiří</dc:creator>
  <cp:lastModifiedBy>Slaběňák Jiří</cp:lastModifiedBy>
  <cp:lastPrinted>2025-01-29T09:29:36Z</cp:lastPrinted>
  <dcterms:created xsi:type="dcterms:W3CDTF">2024-09-16T12:39:10Z</dcterms:created>
  <dcterms:modified xsi:type="dcterms:W3CDTF">2025-02-10T12:35:43Z</dcterms:modified>
</cp:coreProperties>
</file>